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76" windowWidth="20490" windowHeight="7755" tabRatio="658" activeTab="0"/>
  </bookViews>
  <sheets>
    <sheet name="Danhsach" sheetId="1" r:id="rId1"/>
    <sheet name="TK theo ly do" sheetId="2" r:id="rId2"/>
    <sheet name="TK theo Loai viec" sheetId="3" r:id="rId3"/>
    <sheet name="Du_lieu" sheetId="4" r:id="rId4"/>
    <sheet name="luu" sheetId="5" state="hidden" r:id="rId5"/>
    <sheet name="Sheet1" sheetId="6" r:id="rId6"/>
  </sheets>
  <definedNames>
    <definedName name="_xlnm.Print_Area" localSheetId="2">'TK theo Loai viec'!$A$1:$L$41</definedName>
    <definedName name="_xlnm.Print_Area" localSheetId="1">'TK theo ly do'!$A$1:$F$33</definedName>
    <definedName name="_xlnm.Print_Titles" localSheetId="1">'TK theo ly do'!$4:$5</definedName>
  </definedNames>
  <calcPr fullCalcOnLoad="1"/>
</workbook>
</file>

<file path=xl/sharedStrings.xml><?xml version="1.0" encoding="utf-8"?>
<sst xmlns="http://schemas.openxmlformats.org/spreadsheetml/2006/main" count="1411" uniqueCount="736">
  <si>
    <t>Ghi chú</t>
  </si>
  <si>
    <t>A</t>
  </si>
  <si>
    <t>Ghi chú:</t>
  </si>
  <si>
    <t>- Biểu này được dùng chung cho Chấp hành viên, Chi cục Thi hành án dân sự và Cục Thi hành án dân sự;</t>
  </si>
  <si>
    <t>- Số việc đình chỉ tại điểm 1.2, Mục II không bao gồm số việc miễn tại điểm 1.4, Mục II;</t>
  </si>
  <si>
    <t>- Đối với việc ủy thác thi hành án chỉ thống kê đối với việc đã ra quyết định ủy thác thi hành án;</t>
  </si>
  <si>
    <t>- Điểm 4.1 chỉ thống kê những việc cơ quan chưa ra quyết định hoãn thi hành án.</t>
  </si>
  <si>
    <t>5</t>
  </si>
  <si>
    <t>2.1</t>
  </si>
  <si>
    <t>2.2</t>
  </si>
  <si>
    <t>2.3</t>
  </si>
  <si>
    <t>2.4</t>
  </si>
  <si>
    <t>2.5</t>
  </si>
  <si>
    <t>3.1</t>
  </si>
  <si>
    <t>3.2</t>
  </si>
  <si>
    <t>5.1</t>
  </si>
  <si>
    <t>1.1</t>
  </si>
  <si>
    <t>1.2</t>
  </si>
  <si>
    <t>2.6</t>
  </si>
  <si>
    <t>DỮ LIỆU</t>
  </si>
  <si>
    <t>Số TT</t>
  </si>
  <si>
    <t xml:space="preserve"> </t>
  </si>
  <si>
    <t>Tổng số tiền, giá trị tài sản phải thi hành</t>
  </si>
  <si>
    <t>Loại việc thi hành án</t>
  </si>
  <si>
    <t>Chủ động</t>
  </si>
  <si>
    <t>5.2</t>
  </si>
  <si>
    <t>TT</t>
  </si>
  <si>
    <t>VỀ VIỆC</t>
  </si>
  <si>
    <t>TIÊU CHÍ</t>
  </si>
  <si>
    <t>Số Quyết định THA</t>
  </si>
  <si>
    <t>Số tiền, giá trị tài sản đã thi hành</t>
  </si>
  <si>
    <t>Số tiền, giá trị tài sản chưa thi hành</t>
  </si>
  <si>
    <t>Tỷ lệ 
phần trăm về việc
(%)</t>
  </si>
  <si>
    <t>VỀ TIỀN
(1.000 đồng)</t>
  </si>
  <si>
    <t>NGƯỜI LẬP BIỂU</t>
  </si>
  <si>
    <t>Ngày, tháng, năm xác minh gần nhất</t>
  </si>
  <si>
    <t>(1)</t>
  </si>
  <si>
    <t>(2)</t>
  </si>
  <si>
    <t>(3)</t>
  </si>
  <si>
    <t>(4)</t>
  </si>
  <si>
    <t>(5)</t>
  </si>
  <si>
    <t>(6)</t>
  </si>
  <si>
    <t>(7)</t>
  </si>
  <si>
    <t>(9)</t>
  </si>
  <si>
    <t>(10)</t>
  </si>
  <si>
    <t>Cộng</t>
  </si>
  <si>
    <t>Số tiền, giá trị tài sản đã thi hành
(1.000đ)</t>
  </si>
  <si>
    <t>Số tiền, giá trị tài sản chưa thi hành
(1.000đ)</t>
  </si>
  <si>
    <t>Tổng số tiền, giá trị tài sản phải thi hành
(1.000đ)</t>
  </si>
  <si>
    <t>Ngày, tháng, năm ra Quyết định THA</t>
  </si>
  <si>
    <t>(13)</t>
  </si>
  <si>
    <t>(Ký, ghi rõ họ tên, đóng dấu)</t>
  </si>
  <si>
    <t>TỔNG CỤC THI HÀNH ÁN DÂN SỰ</t>
  </si>
  <si>
    <t>CỤC THADS</t>
  </si>
  <si>
    <t>CÁC CHI CỤC THADS</t>
  </si>
  <si>
    <t>I</t>
  </si>
  <si>
    <t>II</t>
  </si>
  <si>
    <t>II.1</t>
  </si>
  <si>
    <t>Chi cục A</t>
  </si>
  <si>
    <t>Số chưa có điều kiện thi hành</t>
  </si>
  <si>
    <t>2.7</t>
  </si>
  <si>
    <t>2.8</t>
  </si>
  <si>
    <t>2.9</t>
  </si>
  <si>
    <t>6</t>
  </si>
  <si>
    <t>Loại việc chưa có điều kiện thi hành án theo điều 44a</t>
  </si>
  <si>
    <t>Người phải thi hành án không có thu nhập</t>
  </si>
  <si>
    <t>Người phải thi hành án có thu nhập chỉ đảm bảo cuộc sống tối thiểu cho người phải thi hành án người mà họ có trách nhiệm nuôi dưỡng</t>
  </si>
  <si>
    <t>Người phải thi hành án không có tài sản để thi hành án</t>
  </si>
  <si>
    <t>Người phải thi hành án có tài sản nhưng giá trị tài sản chỉ đủ thanh toán chi phí cưỡng chế thi hành án</t>
  </si>
  <si>
    <t>Người phải thi hành án có tài sản nhưng tài sản theo quy định của pháp luật không được kê biên, xử lý để thi hành án</t>
  </si>
  <si>
    <t>Điểm b K1 Điều 44a</t>
  </si>
  <si>
    <t>Điểm a K1 Điều 44a</t>
  </si>
  <si>
    <t>Người phải thi hành án phải thi hành nhĩa vụ về trả vật đặc định nhưng vật phải trả không còn</t>
  </si>
  <si>
    <t>Người phải thi hành án phải thi hành nhĩa vụ về trả vật đặc định nhưng vật phải trả hư hỏng đến mức không thể sử dụng được</t>
  </si>
  <si>
    <t>Người phải thi hành án phải trả giấy tờ nhưng giấy tờ không thể thu hồi và cũng không cấp lại được mà đương sự không có thỏa thuận khác</t>
  </si>
  <si>
    <t>Điểm c K1 Điều 44a</t>
  </si>
  <si>
    <t>Chưa xác định được địa chỉ, nơi cư trú của người phải thi hành án</t>
  </si>
  <si>
    <t>5.3</t>
  </si>
  <si>
    <t>5.1.1</t>
  </si>
  <si>
    <t>5.1.2</t>
  </si>
  <si>
    <t>5.1.3</t>
  </si>
  <si>
    <t>5.1.4</t>
  </si>
  <si>
    <t>5.1.5</t>
  </si>
  <si>
    <t>5.2.1</t>
  </si>
  <si>
    <t>5.2.2</t>
  </si>
  <si>
    <t>5.2.3</t>
  </si>
  <si>
    <t>5.3.2</t>
  </si>
  <si>
    <t>5.3.1</t>
  </si>
  <si>
    <t>Chưa xác định được địa chỉ, nơi cư trú của người phải thi hành án chưa thành niên được giao cho người khác nuôi dưỡng</t>
  </si>
  <si>
    <t>CỤC THI HÀNH ÁN DÂN SỰ TỈNH</t>
  </si>
  <si>
    <t xml:space="preserve">            NGƯỜI LẬP BIỂU</t>
  </si>
  <si>
    <t xml:space="preserve">            (Ký ghi rõ họ tên)</t>
  </si>
  <si>
    <t>2.</t>
  </si>
  <si>
    <t>3.</t>
  </si>
  <si>
    <t>3.3</t>
  </si>
  <si>
    <t>Chia theo bản án, quyết định</t>
  </si>
  <si>
    <t>Dân sự</t>
  </si>
  <si>
    <t>Dân sự trong hình sự</t>
  </si>
  <si>
    <t>Hành chính</t>
  </si>
  <si>
    <t>Hôn nhân gia đình</t>
  </si>
  <si>
    <t>Kinh doanh, thương mại</t>
  </si>
  <si>
    <t>Lao động</t>
  </si>
  <si>
    <t>Phá sản</t>
  </si>
  <si>
    <t>Trọng tài</t>
  </si>
  <si>
    <t>Vụ việc cạnh tranh</t>
  </si>
  <si>
    <t>Việc khác</t>
  </si>
  <si>
    <t>1.</t>
  </si>
  <si>
    <t>2.10</t>
  </si>
  <si>
    <t>Mẫu số: 01-DSVCCĐKTH-THA</t>
  </si>
  <si>
    <t>3.4</t>
  </si>
  <si>
    <t>3.5</t>
  </si>
  <si>
    <t>3.6</t>
  </si>
  <si>
    <t>3.7</t>
  </si>
  <si>
    <t>3.8</t>
  </si>
  <si>
    <t>3.9</t>
  </si>
  <si>
    <t>3.10</t>
  </si>
  <si>
    <t>1</t>
  </si>
  <si>
    <t>2</t>
  </si>
  <si>
    <t>3</t>
  </si>
  <si>
    <t>4</t>
  </si>
  <si>
    <t>7</t>
  </si>
  <si>
    <t>8</t>
  </si>
  <si>
    <t>9</t>
  </si>
  <si>
    <t>10</t>
  </si>
  <si>
    <t xml:space="preserve">           TỔNG CỤC THI HÀNH ÁN DÂN SỰ</t>
  </si>
  <si>
    <t xml:space="preserve">          CỤC THI HÀNH ÁN DÂN SỰ TỈNH</t>
  </si>
  <si>
    <t>VỀ TIỀN (1.000 đồng)</t>
  </si>
  <si>
    <t>Loại việc</t>
  </si>
  <si>
    <t>Chia theo Bản án, Quyết định</t>
  </si>
  <si>
    <t>Theo yêu cầu</t>
  </si>
  <si>
    <t>Loại Bản án, Quyết định ( Dân sự, Hành chính, Lao động, …)</t>
  </si>
  <si>
    <t>Số Quyết định việc chưa có điều kiện thi hành</t>
  </si>
  <si>
    <t>Loại việc thi hành án (Chủ động/Theo yêu cầu)</t>
  </si>
  <si>
    <t>Lý do chưa thi hành theo 
Điều 44a Luật Thi hành án dân sự</t>
  </si>
  <si>
    <t>(8)</t>
  </si>
  <si>
    <t>(11)=(9)-(10)</t>
  </si>
  <si>
    <t>(12)</t>
  </si>
  <si>
    <t>(14)</t>
  </si>
  <si>
    <t xml:space="preserve">Điểm a K1 Điều 44a-Người phải THA không có thu nhập </t>
  </si>
  <si>
    <t>Điểm a K1 Điều 44a-Người phải THA không có tài sản để THA</t>
  </si>
  <si>
    <t>Điểm a K1 Điều 44a-Người phải THA có tài sản nhưng giá trị tài sản chỉ đủ thanh toán chi phí cưỡng chế THA</t>
  </si>
  <si>
    <t>Điểm a K1 Điều 44a-Người phải THA có tài sản nhưng tài sản theo quy định của pháp luật không được kê biên, xử lý để THA</t>
  </si>
  <si>
    <t>Điểm b K1 Điều 44a-Người phải THA phải thi hành nghĩa vụ về trả vật đặc định nhưng vật phải trả không còn</t>
  </si>
  <si>
    <t>Điểm b K1 Điều 44a-Người phải THA phải thi hành nghĩa vụ về trả vật đặc định nhưng vật phải trả hư hỏng đến mức không thể sử dụng được</t>
  </si>
  <si>
    <t>Điểm b K1 Điều 44a-Người phải THA phải trả giấy tờ nhưng giấy tờ không thể thu hồi và cũng không cấp lại được mà đương sự không có thỏa thuận khác</t>
  </si>
  <si>
    <t>Điểm c K1 Điều 44a-Chưa xác định được địa chỉ, nơi cư trú của người phải THA</t>
  </si>
  <si>
    <t>Tổng số</t>
  </si>
  <si>
    <t>Số Bản án, Quyết định
của Tòa án, Trọng tài, Hội đồng xử lý vụ việc cạnh tranh</t>
  </si>
  <si>
    <t>Ngày, tháng, năm ra Bản án, Quyết định</t>
  </si>
  <si>
    <t>Ngày, tháng, năm ra Quyết định việc chưa có điều kiện thi hành</t>
  </si>
  <si>
    <r>
      <t xml:space="preserve">THỐNG KÊ THEO LÝ DO CHƯA THI HÀNH
</t>
    </r>
    <r>
      <rPr>
        <i/>
        <sz val="14"/>
        <rFont val="Times New Roman"/>
        <family val="1"/>
      </rPr>
      <t>(Kèm theo Báo cáo số …….. ngày … tháng … năm … của Cục Thi hành án dân sự tỉnh …. )</t>
    </r>
  </si>
  <si>
    <t>Điểm a K1 Điều 44a-Người phải THA có thu nhập chỉ đảm bảo cuộc sống tối thiểu cho người phải THA, người mà họ có trách nhiệm nuôi dưỡng</t>
  </si>
  <si>
    <t>Điểm c K1 Điều 44a-Chưa xác định được địa chỉ, nơi cư trú của người chưa thành niên được giao cho người khác nuôi dưỡng</t>
  </si>
  <si>
    <t>08/9/2016</t>
  </si>
  <si>
    <t>47</t>
  </si>
  <si>
    <t>04</t>
  </si>
  <si>
    <t>03</t>
  </si>
  <si>
    <t>01</t>
  </si>
  <si>
    <t>21</t>
  </si>
  <si>
    <t>14</t>
  </si>
  <si>
    <t>23/6/2017</t>
  </si>
  <si>
    <t>Ngô Thị Đào</t>
  </si>
  <si>
    <t>08</t>
  </si>
  <si>
    <t>CHI CỤC THI HÀNH ÁN DÂN SỰ HUYỆN TUY ĐỨC</t>
  </si>
  <si>
    <t xml:space="preserve">    CỤC THI HÀNH ÁN DÂN SỰ TỈNH ĐẮK NÔNG</t>
  </si>
  <si>
    <t>31</t>
  </si>
  <si>
    <t>25</t>
  </si>
  <si>
    <t>28</t>
  </si>
  <si>
    <t>40</t>
  </si>
  <si>
    <t>50</t>
  </si>
  <si>
    <t>35</t>
  </si>
  <si>
    <t>17</t>
  </si>
  <si>
    <t>23/QĐST-DS của TAND huyện Tuy Đức</t>
  </si>
  <si>
    <t>89</t>
  </si>
  <si>
    <t>13</t>
  </si>
  <si>
    <t>Lý Văn Thế - Tròn</t>
  </si>
  <si>
    <t>171</t>
  </si>
  <si>
    <t>44</t>
  </si>
  <si>
    <t>30</t>
  </si>
  <si>
    <t>36</t>
  </si>
  <si>
    <t>37</t>
  </si>
  <si>
    <t>328</t>
  </si>
  <si>
    <t>76</t>
  </si>
  <si>
    <t>34</t>
  </si>
  <si>
    <t>208</t>
  </si>
  <si>
    <t>32</t>
  </si>
  <si>
    <t>46</t>
  </si>
  <si>
    <t>79</t>
  </si>
  <si>
    <t>05</t>
  </si>
  <si>
    <t>11</t>
  </si>
  <si>
    <t>07/2017/HSST ngày 10/3/2017 của TAND huyện Tuy Đức; BA số 54/2017/HSPT ngày 11/7/2017 của TAND t Đắk Nông</t>
  </si>
  <si>
    <t>Phan Văn Cường</t>
  </si>
  <si>
    <t>10/3/2017</t>
  </si>
  <si>
    <t>75</t>
  </si>
  <si>
    <t>12</t>
  </si>
  <si>
    <t>12/01/2018</t>
  </si>
  <si>
    <t>08/01/2017</t>
  </si>
  <si>
    <t>09</t>
  </si>
  <si>
    <t>254</t>
  </si>
  <si>
    <t>16</t>
  </si>
  <si>
    <r>
      <t xml:space="preserve">            </t>
    </r>
    <r>
      <rPr>
        <b/>
        <sz val="12"/>
        <rFont val="Times New Roman"/>
        <family val="1"/>
      </rPr>
      <t xml:space="preserve"> Ngô Thị Đào</t>
    </r>
  </si>
  <si>
    <t>74</t>
  </si>
  <si>
    <t>Nông Văn Minh</t>
  </si>
  <si>
    <t>02/2018/HSST của TAND tỉnh Bình Phước</t>
  </si>
  <si>
    <t>29/01/2018</t>
  </si>
  <si>
    <t>280</t>
  </si>
  <si>
    <t>18</t>
  </si>
  <si>
    <t>11/7/2018</t>
  </si>
  <si>
    <t>304</t>
  </si>
  <si>
    <t>ĐVT: 1.000 đồng</t>
  </si>
  <si>
    <t>03/2017/HSST của TAND huyện Tuy Đức</t>
  </si>
  <si>
    <t>17.01.2017</t>
  </si>
  <si>
    <t>135</t>
  </si>
  <si>
    <t>20</t>
  </si>
  <si>
    <t>03/8/2018</t>
  </si>
  <si>
    <t>Nguyễn Vũ Trường Giang</t>
  </si>
  <si>
    <t>24</t>
  </si>
  <si>
    <t>175</t>
  </si>
  <si>
    <t>22</t>
  </si>
  <si>
    <t>12/2018/QĐST-DS của TAND huyện Tuy Đức</t>
  </si>
  <si>
    <t>27</t>
  </si>
  <si>
    <t>23</t>
  </si>
  <si>
    <t xml:space="preserve"> 22/6/2016 </t>
  </si>
  <si>
    <t>BA 36/2016/HSST ncủa TAND huyện Đăk R'Lấp; 89/2016/HSPT ngày 14/9/2016 TAND Đắk Nông; QĐ đình chỉ XXPT: 04/2016/HSPT-QĐ 13/9/2016 TAND Đắk Nông</t>
  </si>
  <si>
    <t>347</t>
  </si>
  <si>
    <t>10/9/2018</t>
  </si>
  <si>
    <t>Nguyễn Đình Lân</t>
  </si>
  <si>
    <t>Đặng Thị Của</t>
  </si>
  <si>
    <t>42/2015/HSST của TAND h Tuy Đức</t>
  </si>
  <si>
    <t xml:space="preserve"> 20,10,2015</t>
  </si>
  <si>
    <t>195</t>
  </si>
  <si>
    <t>228</t>
  </si>
  <si>
    <t>Lê Văn Thắng</t>
  </si>
  <si>
    <t>CỤC THI HÀNH ÁN DÂN SỰ TỈNH ĐẮK NÔNG</t>
  </si>
  <si>
    <t>57</t>
  </si>
  <si>
    <t>59</t>
  </si>
  <si>
    <t>78</t>
  </si>
  <si>
    <t>07</t>
  </si>
  <si>
    <t>BA 10/2018/DSSTTAND huyện Tuy Đức; QĐ số 08/2018/QĐSCBSBA ngày 16/11/2018 của TAND huyện Tuy Đức</t>
  </si>
  <si>
    <t xml:space="preserve">31/10/2018 </t>
  </si>
  <si>
    <t>09/8/2019</t>
  </si>
  <si>
    <t>05/8/2019</t>
  </si>
  <si>
    <t>Uông Thị Hòa - trần Văn Bé</t>
  </si>
  <si>
    <t>16/8/2019</t>
  </si>
  <si>
    <t>05/9/2019</t>
  </si>
  <si>
    <t>18/2019/QĐST-DS và QĐ số 18/2019/QĐ-SCBSQĐ ngày 29/5/2019 của TAND huyện Tuy Đức</t>
  </si>
  <si>
    <t>29/5/2019</t>
  </si>
  <si>
    <t>307</t>
  </si>
  <si>
    <t>Bùi Trọng Hoàn + Vui</t>
  </si>
  <si>
    <t>30/2018/HSST của TAND huyện Tuy Đức</t>
  </si>
  <si>
    <t>02/10/2018</t>
  </si>
  <si>
    <t>169</t>
  </si>
  <si>
    <t>23.01.2019</t>
  </si>
  <si>
    <t>167</t>
  </si>
  <si>
    <t>05.9.2019</t>
  </si>
  <si>
    <t>5/9/2019</t>
  </si>
  <si>
    <t>Vũ Hữu Mười</t>
  </si>
  <si>
    <t>30/2013/HSSTTAND huyện Đắk Song</t>
  </si>
  <si>
    <t xml:space="preserve">20/6/2013 </t>
  </si>
  <si>
    <t>309</t>
  </si>
  <si>
    <t>Nguyễn Văn Hưng</t>
  </si>
  <si>
    <t>114</t>
  </si>
  <si>
    <t>Uông Thị Hòa</t>
  </si>
  <si>
    <t>Quyết định 10/2018/DSST- ;  TB số 08/2018/QĐ-SCBSBA ngày 16/11/2018 của TAND huyện Tuy Đức</t>
  </si>
  <si>
    <t xml:space="preserve"> 30/10/2018</t>
  </si>
  <si>
    <t>Nguyễn Thị Duyến</t>
  </si>
  <si>
    <t>10/2019/DSST và QĐ số 30/2019/QĐ-SCBSBA ngày 19/8/2019 của TAND huyện Tuy Đức</t>
  </si>
  <si>
    <t>12/8/2019</t>
  </si>
  <si>
    <t>97</t>
  </si>
  <si>
    <t>73</t>
  </si>
  <si>
    <t>71</t>
  </si>
  <si>
    <t>32/2017/HSST của TAND huyện Tuy Đức</t>
  </si>
  <si>
    <t>07/9/2017</t>
  </si>
  <si>
    <t>11/8/2020</t>
  </si>
  <si>
    <t>Nguyễn Duy Danh + Duyệt</t>
  </si>
  <si>
    <t>24/8/2020</t>
  </si>
  <si>
    <t xml:space="preserve">13/5/2019 </t>
  </si>
  <si>
    <t>13/2019/QĐST-DS của TAND huyện Tuy Đức</t>
  </si>
  <si>
    <t>390</t>
  </si>
  <si>
    <t>28/5/2020</t>
  </si>
  <si>
    <t>Nguyễn Anh Tuấn + Phi</t>
  </si>
  <si>
    <t>306</t>
  </si>
  <si>
    <t>29/5/2020</t>
  </si>
  <si>
    <t>34/2007/DSST  của TAND huyện Bến Lức; 260/2007/DSPT ngày 18/6/2007 của TAND T. Long An</t>
  </si>
  <si>
    <t xml:space="preserve"> 26/3/2007</t>
  </si>
  <si>
    <t>20/8/2020</t>
  </si>
  <si>
    <t>Cty Việt Can</t>
  </si>
  <si>
    <t>09/9/2020</t>
  </si>
  <si>
    <t>11/9/2020</t>
  </si>
  <si>
    <t>26/2019/QĐST-DS của TAND huyện Tuy Đức</t>
  </si>
  <si>
    <t xml:space="preserve">21/8/2019 </t>
  </si>
  <si>
    <t>Nguyễn Văn Ngân</t>
  </si>
  <si>
    <t>15/9/2020</t>
  </si>
  <si>
    <t>10/9/2020</t>
  </si>
  <si>
    <t>47/2019/HSST; TB 17/2019/TB-TA ngày 16/12/2019 TAND huyện Tuy Đức</t>
  </si>
  <si>
    <t>29/11/2019</t>
  </si>
  <si>
    <t>256</t>
  </si>
  <si>
    <t>26/2019/HSST của TAND Tuy Đức; 107/2019/HSPT ngày 14/11/2019 TAND T.Đắk Nông</t>
  </si>
  <si>
    <t xml:space="preserve">16/8/2019 </t>
  </si>
  <si>
    <t>203</t>
  </si>
  <si>
    <t>Trần Sỹ Minh Long (trong vụ Nguyễn Thị Hiên + ĐB)</t>
  </si>
  <si>
    <t>29/2018/HSST của TAND huyện Tuy Đức</t>
  </si>
  <si>
    <t xml:space="preserve"> 28/9/2018 </t>
  </si>
  <si>
    <t>110</t>
  </si>
  <si>
    <t>202</t>
  </si>
  <si>
    <t>43</t>
  </si>
  <si>
    <t>08/2019/DSSTcủa TAND huyện Tuy Đức; 30/2019/QĐ-SCBSBA ngày 19/8/2019 của TAND Tuy Đức</t>
  </si>
  <si>
    <t xml:space="preserve">26/7/2019 </t>
  </si>
  <si>
    <t>93</t>
  </si>
  <si>
    <t>29/9/2020</t>
  </si>
  <si>
    <t>25/9/2020</t>
  </si>
  <si>
    <t>Cao Thị Thùy Liên</t>
  </si>
  <si>
    <t>02/2020/QĐST-DS của TAND huyện Tuy Đức</t>
  </si>
  <si>
    <t>13/02/2020</t>
  </si>
  <si>
    <t>336</t>
  </si>
  <si>
    <t>48</t>
  </si>
  <si>
    <t>28/9/2020</t>
  </si>
  <si>
    <t>54/2019/QĐST-DS  của TAND huyện Tuy Đức</t>
  </si>
  <si>
    <t>19/11/2019</t>
  </si>
  <si>
    <t>227</t>
  </si>
  <si>
    <t>49</t>
  </si>
  <si>
    <t>Hà Thị Chung</t>
  </si>
  <si>
    <t>66/2019/HSST TAND Tuy Đức; 08/2020/HSPT ngày 18/02/2020 TAND tỉnh Đắk Nông</t>
  </si>
  <si>
    <t>04/12/2019</t>
  </si>
  <si>
    <t>53</t>
  </si>
  <si>
    <t>Khổng Văn Giang</t>
  </si>
  <si>
    <t>10/5/2018</t>
  </si>
  <si>
    <t>134</t>
  </si>
  <si>
    <t>05/11/2020</t>
  </si>
  <si>
    <t>04/11/2020</t>
  </si>
  <si>
    <t>Dương Văn Chung + Thảo</t>
  </si>
  <si>
    <t>26/2019/HSST của TAND huyện Tuy Đức; 107/2019/HSPT ngày 14/11/2019, CV 01/2021/CV-TA ngày 02/3/2021 của TAND tỉnh Đắk Nông</t>
  </si>
  <si>
    <t>269</t>
  </si>
  <si>
    <t>23/3/2021</t>
  </si>
  <si>
    <t>18/3/2021</t>
  </si>
  <si>
    <t>Trần Văn Duy + ĐB</t>
  </si>
  <si>
    <t xml:space="preserve">14/7/2020 </t>
  </si>
  <si>
    <t>24/2020/QĐST-DS của TAND huyện Tuy Đức</t>
  </si>
  <si>
    <t>31/3/2021</t>
  </si>
  <si>
    <t>34/2019/QĐST-DS của TAND huyện Tuy Đức</t>
  </si>
  <si>
    <t xml:space="preserve">27/9/2019 </t>
  </si>
  <si>
    <t>253</t>
  </si>
  <si>
    <t>06</t>
  </si>
  <si>
    <t>24/2020/QĐST-DScủa TAND huyện Tuy Đức</t>
  </si>
  <si>
    <t>02/4/2021</t>
  </si>
  <si>
    <t xml:space="preserve">06/2020/HSSTvà TB 02/2020/TB-TA ngày 11/52020 của TAND Châu Thành, Long An; </t>
  </si>
  <si>
    <t xml:space="preserve">  28/4/2020 </t>
  </si>
  <si>
    <t>221</t>
  </si>
  <si>
    <t>49/2020/HSST; QĐ 30/2020/QĐ-SCBS ngày 15/9/2020của TAND huyện Đăk Song</t>
  </si>
  <si>
    <t>08/9/2020</t>
  </si>
  <si>
    <t>140</t>
  </si>
  <si>
    <t>08/4/2021</t>
  </si>
  <si>
    <t>05/42021</t>
  </si>
  <si>
    <t>Phạm Hồng Công</t>
  </si>
  <si>
    <t>39/2019/HSST của TAND huyện Tuy Đức</t>
  </si>
  <si>
    <t>10/5/2021</t>
  </si>
  <si>
    <t>07/5/2021</t>
  </si>
  <si>
    <t>Vũ Đức Quyền + Dũng</t>
  </si>
  <si>
    <t>24/6/2020</t>
  </si>
  <si>
    <t>06/2020/HSST của TAND huyện Tân Châu, tỉnh Long An</t>
  </si>
  <si>
    <t>315</t>
  </si>
  <si>
    <t>11/5/2021</t>
  </si>
  <si>
    <t>12/2020/HSST của TAND huyện Tuy Đức</t>
  </si>
  <si>
    <t>268</t>
  </si>
  <si>
    <t>26/2018/QĐST- HNGĐ của TAND huyện Chư Sê, Gia Lai</t>
  </si>
  <si>
    <t>02/5/2018</t>
  </si>
  <si>
    <t>86</t>
  </si>
  <si>
    <t>28/5/2021</t>
  </si>
  <si>
    <t>24/5/2021</t>
  </si>
  <si>
    <t>27/5/2021</t>
  </si>
  <si>
    <t>58/2019/DSST TAND TP.Bạc Liêu; QĐ 09/2020QĐ-PT ngày 28/5/2020 TAND T.Bạc Liêu</t>
  </si>
  <si>
    <t xml:space="preserve">08/11/2019 </t>
  </si>
  <si>
    <t>321</t>
  </si>
  <si>
    <t>08/6/2021</t>
  </si>
  <si>
    <t>30/5/2021</t>
  </si>
  <si>
    <t>Công ty Hoàng Ba</t>
  </si>
  <si>
    <t>06/QĐST-DS của TAND h Tuy Đức</t>
  </si>
  <si>
    <t>06/7/2015</t>
  </si>
  <si>
    <t>30/6/2021</t>
  </si>
  <si>
    <t>Vũ Văn Hạnh - Tơ</t>
  </si>
  <si>
    <t>02/2017/KDTM-ST và TB 01/2017/QĐ-SCBSBA ngày 12/12/2017 của TAND huyện Tuy Đức</t>
  </si>
  <si>
    <t xml:space="preserve">29/11/2017 </t>
  </si>
  <si>
    <t>190</t>
  </si>
  <si>
    <t>Vũ Văn Hạnh - Cty Thanh sơn hóa nông</t>
  </si>
  <si>
    <t>13/2020/DSST của TAND huyện Tuy Đức</t>
  </si>
  <si>
    <t xml:space="preserve">28/9/2020 </t>
  </si>
  <si>
    <t>232</t>
  </si>
  <si>
    <t>Phan Long</t>
  </si>
  <si>
    <t>234</t>
  </si>
  <si>
    <t>Phan Long - Nguyễn Hải Đường</t>
  </si>
  <si>
    <t>06/7/2021</t>
  </si>
  <si>
    <t>35/2020/QĐST-DScủa TAND huyện Tuy Đức</t>
  </si>
  <si>
    <t xml:space="preserve">30/9/2020 </t>
  </si>
  <si>
    <t>28/6/2021</t>
  </si>
  <si>
    <t>Lê Sỹ Cao - Nguyễn Thị Hà</t>
  </si>
  <si>
    <t>198</t>
  </si>
  <si>
    <t>Lê Sỹ Cao + Hà</t>
  </si>
  <si>
    <t>02/7/2021</t>
  </si>
  <si>
    <t>14/2020/DSST của TAND huyện Tuy Đức</t>
  </si>
  <si>
    <t>239</t>
  </si>
  <si>
    <t>Phạm Quang Dự -- Nguyễn Hải Đường</t>
  </si>
  <si>
    <t>Phạm Quang Dự + Vân</t>
  </si>
  <si>
    <t>32/2020/DSST của TAND huyện Đắk R'lấp</t>
  </si>
  <si>
    <t>12/7/2021</t>
  </si>
  <si>
    <t xml:space="preserve">25/9/2020 </t>
  </si>
  <si>
    <t>10/2020/DSST  của TAND huyện Tuy Đức</t>
  </si>
  <si>
    <t>24/9/2020</t>
  </si>
  <si>
    <t>248</t>
  </si>
  <si>
    <t>05/8/2021</t>
  </si>
  <si>
    <t>04/8/2021</t>
  </si>
  <si>
    <t>30/9/2020</t>
  </si>
  <si>
    <t>10/8/2021</t>
  </si>
  <si>
    <t>50/2020/HSST của TAND Đák R'Lấp; Bản án số: 125/2020/HSPT ngày 30/12/2020 của TAND tỉnh Đắk Nông</t>
  </si>
  <si>
    <t xml:space="preserve">16/9/2020 </t>
  </si>
  <si>
    <t>282</t>
  </si>
  <si>
    <t>Lê Văn Lương - Phạm Văn Quyết</t>
  </si>
  <si>
    <t>22/2020/QĐST-DS của TAND huyện Tuy Đức</t>
  </si>
  <si>
    <t>14/7/2020</t>
  </si>
  <si>
    <t>13/8/2021</t>
  </si>
  <si>
    <t>33/2019/QĐST-DS của TAND huyện Tuy Đức</t>
  </si>
  <si>
    <t>25/9/2019</t>
  </si>
  <si>
    <t>Hoàng Thị Duyên -NH Đông Á</t>
  </si>
  <si>
    <t>52</t>
  </si>
  <si>
    <t>25/2020/HSST của TAND huyện Đắk Song</t>
  </si>
  <si>
    <t>11/6/2020</t>
  </si>
  <si>
    <t>296</t>
  </si>
  <si>
    <t>25/8/2021</t>
  </si>
  <si>
    <t>Nguyễn Ngọc Quán</t>
  </si>
  <si>
    <t>26/2021/HSST của TAND huyện Đắk R'Lấp</t>
  </si>
  <si>
    <t xml:space="preserve">25/5/2021 </t>
  </si>
  <si>
    <t>398</t>
  </si>
  <si>
    <t>26/8/2021</t>
  </si>
  <si>
    <t>Lê Xuân Dũng</t>
  </si>
  <si>
    <t>41/2020/QĐST-DS của TAND huyện Tuy Đức</t>
  </si>
  <si>
    <t xml:space="preserve"> 09/9/2020</t>
  </si>
  <si>
    <t>206</t>
  </si>
  <si>
    <t>Nguyễn Thị Nhị - Cấn Văn Hành</t>
  </si>
  <si>
    <t>27/8/2021</t>
  </si>
  <si>
    <t>27/2020/QĐST-DS của TAND huyện Tuy Đức</t>
  </si>
  <si>
    <t>03/8/2020</t>
  </si>
  <si>
    <t>300</t>
  </si>
  <si>
    <t>Điểu R'Leo - Phạm Thái Bình</t>
  </si>
  <si>
    <t>01/2019/QĐST-KDTM  của TAND huyện Tuy Đức</t>
  </si>
  <si>
    <t xml:space="preserve"> 15/01/2019</t>
  </si>
  <si>
    <t>80</t>
  </si>
  <si>
    <t>36/2020/DSST của TAND huyện Tuy Đức</t>
  </si>
  <si>
    <t>242</t>
  </si>
  <si>
    <t>03/2018/DSST  của TAND huyện Tuy Đức</t>
  </si>
  <si>
    <t>12/6/2018</t>
  </si>
  <si>
    <t>07/2016/QĐST-DS  TAND huyện Tuy ĐỨc</t>
  </si>
  <si>
    <t>31/3/2016</t>
  </si>
  <si>
    <t>271</t>
  </si>
  <si>
    <t>Nguyễn Văn Tần  - Thủy</t>
  </si>
  <si>
    <t>52/HSST của TAND huyện Bù Đăng; Bản án số: 113/HSPT ngày 08/9/2014 của TAND tỉnh Bình Phước</t>
  </si>
  <si>
    <t xml:space="preserve">13/6/2014  </t>
  </si>
  <si>
    <t>Trần Văn Lượng</t>
  </si>
  <si>
    <t>38/2019/QĐST-DS  của TAND huyện Tuy Đức</t>
  </si>
  <si>
    <t>07/10/2019</t>
  </si>
  <si>
    <t>138</t>
  </si>
  <si>
    <t>Nguyễn Thị Thịnh</t>
  </si>
  <si>
    <t>35/2019/HSST của TAND huyện Tuy Đức</t>
  </si>
  <si>
    <t xml:space="preserve">23/10/2019 </t>
  </si>
  <si>
    <t>174</t>
  </si>
  <si>
    <t>Đặng Văn Hạnh +ĐB</t>
  </si>
  <si>
    <t>Nguyễn Văn Đắc + ĐB</t>
  </si>
  <si>
    <t>20/2012/HSST của TAND huyện Đăk Song</t>
  </si>
  <si>
    <t>05.01.2012</t>
  </si>
  <si>
    <t>104</t>
  </si>
  <si>
    <t>04.6.2012</t>
  </si>
  <si>
    <t>48/2011/HSSTcủa TAND Tuy Đức</t>
  </si>
  <si>
    <t xml:space="preserve"> 11.11.2011 </t>
  </si>
  <si>
    <t>127</t>
  </si>
  <si>
    <t>Nguyễn Văn Bền</t>
  </si>
  <si>
    <t>20/2019/DSST của TAND huyện Tuy Đức</t>
  </si>
  <si>
    <t>26/11/2019</t>
  </si>
  <si>
    <t>235</t>
  </si>
  <si>
    <t>Nguyễn Trung Hiếu</t>
  </si>
  <si>
    <t>52/2015/QĐST-DS  TAND TP.Buôn Ma Thuột, Đăk Lăk</t>
  </si>
  <si>
    <t>09/4/2015</t>
  </si>
  <si>
    <t>Nguyễn Thị Thùy Linh - NH NN Đắk Lắk</t>
  </si>
  <si>
    <t>32/2020/QĐST-DS  của TAND huyện Tuy Đức</t>
  </si>
  <si>
    <t>Lê Đức Hưởng</t>
  </si>
  <si>
    <t>08/2021/QĐST-DS  của TAND huyện Tuy Đức</t>
  </si>
  <si>
    <t>12/3/2021</t>
  </si>
  <si>
    <t>318</t>
  </si>
  <si>
    <t>243</t>
  </si>
  <si>
    <t xml:space="preserve">Hoàng Thị Liền </t>
  </si>
  <si>
    <t>17/2020/DSST của TAND huyện Tuy Đức</t>
  </si>
  <si>
    <t>294</t>
  </si>
  <si>
    <t>69</t>
  </si>
  <si>
    <t>08/9/2021</t>
  </si>
  <si>
    <t>Đỗ Văn Tiến</t>
  </si>
  <si>
    <t>30/2020/QĐST-DS  của TAND huyện Tuy Đức</t>
  </si>
  <si>
    <t>05/8/2020</t>
  </si>
  <si>
    <t>13/9/2021</t>
  </si>
  <si>
    <t>10/9/2021</t>
  </si>
  <si>
    <t>11/2020/DSSTcủa TAND huyện Tuy Đức</t>
  </si>
  <si>
    <t>14/9/2021</t>
  </si>
  <si>
    <t>77</t>
  </si>
  <si>
    <t>16/9/2021</t>
  </si>
  <si>
    <t>207</t>
  </si>
  <si>
    <t>Nguyễn Đình Chung-  Cường</t>
  </si>
  <si>
    <t>Nguyễn Đình Chung</t>
  </si>
  <si>
    <t>22/9/2021</t>
  </si>
  <si>
    <t>27/9/2021</t>
  </si>
  <si>
    <t>99</t>
  </si>
  <si>
    <t>65/2015/HSST  của TAND huyện Tuy Đức</t>
  </si>
  <si>
    <t>25/12/2015</t>
  </si>
  <si>
    <t>385</t>
  </si>
  <si>
    <t>29/6/2022</t>
  </si>
  <si>
    <t>28/6/2022</t>
  </si>
  <si>
    <t>22/9/2020</t>
  </si>
  <si>
    <t>09/2020/DSST  của TAND huyện Tuy Đức</t>
  </si>
  <si>
    <t>164</t>
  </si>
  <si>
    <t>Đặng Quốc Chính</t>
  </si>
  <si>
    <t>11/2020/QĐST-DS  của TAND huyện Tuy Đức</t>
  </si>
  <si>
    <t>07/4/2020</t>
  </si>
  <si>
    <t>Chử Mạnh Được</t>
  </si>
  <si>
    <t>34/2020/DSST của TAND huyện Tuy Đức</t>
  </si>
  <si>
    <t>165</t>
  </si>
  <si>
    <t>Chu Thị Thái</t>
  </si>
  <si>
    <t>87/2021/QĐSTDS  của TAND huyện Đắk Song, tỉnh Đắk Nông</t>
  </si>
  <si>
    <t>12/5/2021</t>
  </si>
  <si>
    <t>Nguyễn Phùng Thủy</t>
  </si>
  <si>
    <t>401</t>
  </si>
  <si>
    <t>14/2020/QĐST-DS  của TAND huyện Tuy Đức</t>
  </si>
  <si>
    <t>30/3/2021</t>
  </si>
  <si>
    <t>Điểu Duyên</t>
  </si>
  <si>
    <t>55/2020/HSST của  TAND Tỉnh Đắk Nông; 547/2021/HSPT ngày 20/12/2021 TAND CC tại TP. HCM</t>
  </si>
  <si>
    <t>25/11/2020</t>
  </si>
  <si>
    <t>264</t>
  </si>
  <si>
    <t>16/6/2022</t>
  </si>
  <si>
    <t>Võ Văn Thà</t>
  </si>
  <si>
    <t>21/2022/QĐST-DS  của TAND huyện Tuy Đức</t>
  </si>
  <si>
    <t>03/6/2022</t>
  </si>
  <si>
    <t>453</t>
  </si>
  <si>
    <t>Điểu Nghinh</t>
  </si>
  <si>
    <t>17/2019/DSST của TAND huyện Bù Đăng, Bình Phước</t>
  </si>
  <si>
    <t>497</t>
  </si>
  <si>
    <t>Huỳnh Văn Dương</t>
  </si>
  <si>
    <t>498</t>
  </si>
  <si>
    <t>01/2022/QĐST-DS  của TAND huyện Tuy Đức</t>
  </si>
  <si>
    <t>07/01/2022</t>
  </si>
  <si>
    <t>500</t>
  </si>
  <si>
    <t>Lương Xuân Vinh - Nguyễn Tiến</t>
  </si>
  <si>
    <t>Huỳnh Văn Dương - Đỗ Văn Phán</t>
  </si>
  <si>
    <t>11/2015/QĐST-DS  của TAND Tuy Đức</t>
  </si>
  <si>
    <t>24/9/2015</t>
  </si>
  <si>
    <t>Nguyễn Văn Bao</t>
  </si>
  <si>
    <t>12/2015/QĐST-DS  của TAND Tuy Đức</t>
  </si>
  <si>
    <t>39/2020/DSST ngày 30/9/2020 của TAND huyện Tuy Đức</t>
  </si>
  <si>
    <t xml:space="preserve"> ngày 30/9/2020 </t>
  </si>
  <si>
    <t>180</t>
  </si>
  <si>
    <t>Uông Ngọc Hùng - NH NH</t>
  </si>
  <si>
    <t xml:space="preserve">Hoàng Thị Duyên -NH SG Thương Tín </t>
  </si>
  <si>
    <t>11/2021/DSST của TAND huyện Tuy Đức</t>
  </si>
  <si>
    <t xml:space="preserve"> 24/92021</t>
  </si>
  <si>
    <t>120</t>
  </si>
  <si>
    <t>Phạm Thế Anh</t>
  </si>
  <si>
    <t>Phạm Thế Anh - Trần Văn Hào</t>
  </si>
  <si>
    <t>52/2021/HSST  của TAND h. Dương Minh Châu, Tây Ninh</t>
  </si>
  <si>
    <t>283</t>
  </si>
  <si>
    <t>Trần Văn Túy</t>
  </si>
  <si>
    <t>06/2022/QĐST-DS  của TAND huyện Tuy Đức</t>
  </si>
  <si>
    <t>15/3/2022</t>
  </si>
  <si>
    <t>Phạm Ngọc Thanh</t>
  </si>
  <si>
    <t>458</t>
  </si>
  <si>
    <t>Phạm Ngọc Thanh - Huân</t>
  </si>
  <si>
    <t>88/2021/HSST của TAND huyện ĐỊnh Quán, ĐỒng Nai</t>
  </si>
  <si>
    <t>29/10/2021</t>
  </si>
  <si>
    <t>541</t>
  </si>
  <si>
    <t>Trần Văn Bình</t>
  </si>
  <si>
    <t>Phan Việt Nghĩa   (Hoàng văn Mến)</t>
  </si>
  <si>
    <t>Điểu Ngơ + Thị Nô En</t>
  </si>
  <si>
    <t>Trương Đình Phú - Điểu Thông  (Theo đơn 162 - Trà Lê Tấn Châu và Phạm Xuân Thư 349)</t>
  </si>
  <si>
    <t>47/2020/DSST của TAND huyện Đắk Song</t>
  </si>
  <si>
    <t xml:space="preserve">22/9/2020 </t>
  </si>
  <si>
    <t>173</t>
  </si>
  <si>
    <t>Nguyễn Văn Tuấn</t>
  </si>
  <si>
    <t>37/2020/QĐST-DS  của TAND huyện Tuy Đức</t>
  </si>
  <si>
    <t>26/8/2020</t>
  </si>
  <si>
    <t>Trương Quốc Dũng</t>
  </si>
  <si>
    <t>148</t>
  </si>
  <si>
    <t>Trương Quốc Dũng - Thắng</t>
  </si>
  <si>
    <t>24/2022/DSST  của TAND huyện Tuy Đức; 16/2022/QĐPT ngày 24/11/2022 của TAND tỉnh Đắk Nông</t>
  </si>
  <si>
    <t>23/9/2022</t>
  </si>
  <si>
    <t>101</t>
  </si>
  <si>
    <t>27/02/2023</t>
  </si>
  <si>
    <t xml:space="preserve">Lường Quang Sỹ </t>
  </si>
  <si>
    <t>Lường Quang Sỹ - Cty Gia Phương Phúc</t>
  </si>
  <si>
    <t>Đỗ Văn Vũ (Điểu Gun) (Bùi Văn Hiêu 126)</t>
  </si>
  <si>
    <t>HTX NLN Tấn Phát - Cty Nam Tây Nguyên (Nguyễn Văn Huấn)</t>
  </si>
  <si>
    <r>
      <t xml:space="preserve">THỐNG KÊ THEO LOẠI VIỆC
</t>
    </r>
    <r>
      <rPr>
        <i/>
        <sz val="14"/>
        <rFont val="Times New Roman"/>
        <family val="1"/>
      </rPr>
      <t>(Kèm theo Báo cáo số …….. ngày ….. tháng ….. năm 2023 của Chi Cục Thi hành án dân sự huyện Tuy Đức)</t>
    </r>
  </si>
  <si>
    <t>09/2022/QĐST-DS  của TAND huyện Tuy Đức</t>
  </si>
  <si>
    <t>06/4/2022</t>
  </si>
  <si>
    <t>03/3/2023</t>
  </si>
  <si>
    <t>Điểu M Rơn - Thào A Thênh</t>
  </si>
  <si>
    <t>20/2022/QĐST-DS  của TAND huyện Tuy Đức</t>
  </si>
  <si>
    <t>30/5/2022</t>
  </si>
  <si>
    <t>157</t>
  </si>
  <si>
    <t>27/3/2023</t>
  </si>
  <si>
    <t>23/3/2023</t>
  </si>
  <si>
    <t>Nguyễn Vũ Lực - Phạm văn Chúc</t>
  </si>
  <si>
    <t>40/2021/QĐST-DS  của TAND huyện Tuy Đức</t>
  </si>
  <si>
    <t>24/9/2021</t>
  </si>
  <si>
    <t>72</t>
  </si>
  <si>
    <t>28/3/2023</t>
  </si>
  <si>
    <t>Lương Văn Vinh</t>
  </si>
  <si>
    <t>11/2022/DSST của TAND huyện Tuy Đức</t>
  </si>
  <si>
    <t>25/7/2022</t>
  </si>
  <si>
    <t>Huỳnh Công Tiến</t>
  </si>
  <si>
    <t>Huỳnh Công Tiến - NH VN Thịnh Vượng</t>
  </si>
  <si>
    <t>Nguyễn Đức Công - Huỳnh (Theo đơn của Trương Quang Tú -NH Quốc tế)</t>
  </si>
  <si>
    <t>21/4/2022</t>
  </si>
  <si>
    <t>12/2022/QĐST-DS  của TAND huyện Tuy Đức</t>
  </si>
  <si>
    <t>12/5/2023</t>
  </si>
  <si>
    <t>Phạm T Mai Anh - Cty Bảo Anh Đắk Nông</t>
  </si>
  <si>
    <t>226</t>
  </si>
  <si>
    <t>Phạm T Mai Anh</t>
  </si>
  <si>
    <t>19/7/2022</t>
  </si>
  <si>
    <t>10/2022/DSST của TAND huyện Tuy Đức</t>
  </si>
  <si>
    <t>Lý Quyết - Hồng Phúc</t>
  </si>
  <si>
    <t>219</t>
  </si>
  <si>
    <t>15/2022/QĐST-DS  của TAND huyện Tuy Đức</t>
  </si>
  <si>
    <t>28/4/2022</t>
  </si>
  <si>
    <t>05/7/2023</t>
  </si>
  <si>
    <t>30/6/2023</t>
  </si>
  <si>
    <t>Trần Thị Hiệp - Trần Anh Dũng</t>
  </si>
  <si>
    <t>73/2020/HSST của TAND huyện Đồng Phú, Bình Phước</t>
  </si>
  <si>
    <t>10/11/2020</t>
  </si>
  <si>
    <t>141</t>
  </si>
  <si>
    <t>Lê Văn Lộc</t>
  </si>
  <si>
    <t>22/2022/QĐST-HNGĐ  của TAND huyện Tuy Đức</t>
  </si>
  <si>
    <t>31/3/2022</t>
  </si>
  <si>
    <t>150</t>
  </si>
  <si>
    <t>Phạm Đình Giang - Thương</t>
  </si>
  <si>
    <t>06/2019/DSST của TAND huyện Tuy Đức; 65/2019/DSPT ngày 22/10/2019 của TAND tỉnh Đăk Nông</t>
  </si>
  <si>
    <t>17/7/2019</t>
  </si>
  <si>
    <t>170</t>
  </si>
  <si>
    <t>15</t>
  </si>
  <si>
    <t>Nguyễn Văn Tiến - Cao Thị Thúy</t>
  </si>
  <si>
    <t>60/2022/HSST của TAND TP. Gia Nghĩa</t>
  </si>
  <si>
    <t>28/9/2022</t>
  </si>
  <si>
    <t>237</t>
  </si>
  <si>
    <t>07/7/2023</t>
  </si>
  <si>
    <t>05/6/2023</t>
  </si>
  <si>
    <t>Hoàng Văn Tuấn</t>
  </si>
  <si>
    <t>23/2021/HSST của TAND huyện Tuy Đức; 78/2021/HSPT ngày 09/11/2021 TAND tỉnh Đắk Nông</t>
  </si>
  <si>
    <t>152</t>
  </si>
  <si>
    <t>Huỳnh Quang Kỳ _ Phan Thúc Định</t>
  </si>
  <si>
    <t>Trần Ngọc Phong - Hùng (Nguyễn Thị Hằng và Trần Ngọc Phong - Duyên)</t>
  </si>
  <si>
    <t>Trần Ngọc Phong - Lâm (Lê Đức Hưởng, Khổng Đức Nam và Trần Ngọc Phong - NHNN)</t>
  </si>
  <si>
    <t>777/2022/HSPT ngày 12/10/2022 của TAND cấp ca tai TP. HCM và BA số 46/2021/HSST của TAND tỉnh Đắk Nông</t>
  </si>
  <si>
    <t>14/10/2021</t>
  </si>
  <si>
    <t>217</t>
  </si>
  <si>
    <t>21/7/2023</t>
  </si>
  <si>
    <t>17/7/2023</t>
  </si>
  <si>
    <t>Hoàng Hữu Sáu</t>
  </si>
  <si>
    <t>09/2022/DSST của TAND huyện Tuy Đức</t>
  </si>
  <si>
    <t>20/6/2022</t>
  </si>
  <si>
    <t>220</t>
  </si>
  <si>
    <t>18/7/2023</t>
  </si>
  <si>
    <t>24/2022/QĐST-DS  của TAND huyện Tuy Đức</t>
  </si>
  <si>
    <t>06/7/2022</t>
  </si>
  <si>
    <t>126</t>
  </si>
  <si>
    <t>60/2019/QĐST-DS  của TAND huyện Tuy Đức</t>
  </si>
  <si>
    <t>356</t>
  </si>
  <si>
    <t>340</t>
  </si>
  <si>
    <t>Phạm Hồ Phong</t>
  </si>
  <si>
    <t>56/2022/QĐST-HNGĐ  của TAND huyện Tuy Đức</t>
  </si>
  <si>
    <t>04/7/2022</t>
  </si>
  <si>
    <t>Vũ Tuấn Long - Đặng Thị Hương</t>
  </si>
  <si>
    <t>Nguyễn Đình Lân ( Cty Hùng Linh 542/20.7.2022)</t>
  </si>
  <si>
    <t>Hà Thị Chung (Điểu Khoen - Ngân hàng 501/06.7.2022)</t>
  </si>
  <si>
    <t>Nguyễn Hoàng Thế Thắng ( Cty Huỳnh phương Anh 362/22.4.2022)</t>
  </si>
  <si>
    <t>Nguyễn Hoàng Thế Thắng (Nguyễn Hồng Sơn 59/15.10.2021)</t>
  </si>
  <si>
    <t xml:space="preserve">Đinh Tấn Thảo (Bùi Đức Thắng 187/09.3.2023) </t>
  </si>
  <si>
    <t>Tuy Đức, ngày 28 tháng 7 năm 2023</t>
  </si>
  <si>
    <t>CHI CỤC TRƯỞNG</t>
  </si>
  <si>
    <t>Trần Anh Tuấn</t>
  </si>
  <si>
    <t xml:space="preserve">
CHI CỤC TRƯỞNG
</t>
  </si>
  <si>
    <t>08/2009/HSST của TAND huyện Tuy Đức</t>
  </si>
  <si>
    <t xml:space="preserve">10/3/2009 </t>
  </si>
  <si>
    <t>Nguyễn Thị Sáu</t>
  </si>
  <si>
    <t>07/2021/QĐST-DS  của TAND huyện Tuy Đức</t>
  </si>
  <si>
    <t>05/02/2021</t>
  </si>
  <si>
    <t>06/2021/QĐST-DS  của TAND huyện Tuy Đức</t>
  </si>
  <si>
    <t>58</t>
  </si>
  <si>
    <t>18/2023/QĐST-DS  của TAND huyện Tuy Đức</t>
  </si>
  <si>
    <t>24/5/2023</t>
  </si>
  <si>
    <t xml:space="preserve">Trương Đình Lộc </t>
  </si>
  <si>
    <t>Hứa Thị Mơ - NH SG thương tín (Điểu Định 243/11.4.2023</t>
  </si>
  <si>
    <t>Bùi Văn Tuân - NH SG thương tín (Ngô Văn Quang 407/17.7.2023 và Đàm Quang Trung 241/11.4.2023 và Bùi Đức Sơn 279/13.4.2023)</t>
  </si>
  <si>
    <t>Phạm Hồ Phong - Phạm Thị Huyền Trang (Huỳnh Tấn Quy 137/06.01.2023)</t>
  </si>
  <si>
    <t xml:space="preserve">Phùng Văn Tuấn </t>
  </si>
  <si>
    <r>
      <t xml:space="preserve">DANH SÁCH VIỆC CHƯA CÓ ĐIỀU KIỆN THI HÀNH 11 THÁNG NĂM 2023
</t>
    </r>
    <r>
      <rPr>
        <i/>
        <sz val="16"/>
        <rFont val="Times New Roman"/>
        <family val="1"/>
      </rPr>
      <t>(Kèm theo Báo cáo số …….. ngày ….. tháng ….. năm 2023 của Chi Cục Thi hành án dân sự huyện Tuy Đức )</t>
    </r>
  </si>
  <si>
    <t>14/8/2023</t>
  </si>
  <si>
    <t>11/8/2023</t>
  </si>
  <si>
    <t>26</t>
  </si>
  <si>
    <t>29</t>
  </si>
  <si>
    <t>05/2019/HSST của TAND huyện Tuy Đức</t>
  </si>
  <si>
    <t>04/4/2019</t>
  </si>
  <si>
    <t>380</t>
  </si>
  <si>
    <t>28/8/2023</t>
  </si>
  <si>
    <t>23/8/2023</t>
  </si>
  <si>
    <t>Đoàn Thị Thảo</t>
  </si>
  <si>
    <t>20/2023/QĐST-DS của TAND huyện Tuy Đức</t>
  </si>
  <si>
    <t>08/6/2023</t>
  </si>
  <si>
    <t>366</t>
  </si>
  <si>
    <t>33</t>
  </si>
  <si>
    <t>Vũ Văn Hạnh</t>
  </si>
  <si>
    <t>Nguyễn Thị Nhàn - Phạm Văn Chúc (Hoàng Tuấn Anh 172/28.02.023)</t>
  </si>
  <si>
    <t>10/3/2009</t>
  </si>
  <si>
    <t>168</t>
  </si>
  <si>
    <t>Bùi Duy Cường</t>
  </si>
  <si>
    <t>113/2021/HSST của TAND huyện Lâm Hà, Lâm Đồng</t>
  </si>
  <si>
    <t>17/11/2021</t>
  </si>
  <si>
    <t>129</t>
  </si>
  <si>
    <t>Loan Ngọc Thảo</t>
  </si>
  <si>
    <t>05/2022/DSST của TAND huyện Tuy Đức</t>
  </si>
  <si>
    <t>565</t>
  </si>
  <si>
    <t>Lê Thiện Anh Thư</t>
  </si>
  <si>
    <t>03/2019/QĐST-DS  của TAND huyện Tuy Đức</t>
  </si>
  <si>
    <t>21/01/2019</t>
  </si>
  <si>
    <t>Bùi Văn Tuân - Thọ (256 hộ dân 35/17.11.2011; Huỳnh Tấn Quy 137/06.01.2023)</t>
  </si>
  <si>
    <t>14/2018/QĐST-HNGĐ  của TAND huyện Tuy Đức</t>
  </si>
  <si>
    <t>09/02/2018</t>
  </si>
  <si>
    <t>Nguyễn Văn Thọ - Hiền</t>
  </si>
  <si>
    <t>14/2022/DSST  của TAND huyện Tuy Đức</t>
  </si>
  <si>
    <t>11/8/2022</t>
  </si>
  <si>
    <t xml:space="preserve">Nguyễn văn Tuấn </t>
  </si>
  <si>
    <t>40/2022/QĐST-DS  của TAND huyện Tuy Đức</t>
  </si>
  <si>
    <t>Trần Xuân Quý - Giáp (Võ Văn Vinh 55/15.10.2021)</t>
  </si>
  <si>
    <t>Tuy Đức, ngày 29 tháng 8 năm 2023</t>
  </si>
  <si>
    <t>Đào Minh Tâm + NH  Việt Nam Thịnh Vượng (Nguyễn Duy Chỉnh350/18.5.2021)</t>
  </si>
  <si>
    <t>Lê Vũ Toàn _ Cty Bảo Anh Đắk Nông (Đỗ Xuân Khiêm 266/13.02.2020)</t>
  </si>
</sst>
</file>

<file path=xl/styles.xml><?xml version="1.0" encoding="utf-8"?>
<styleSheet xmlns="http://schemas.openxmlformats.org/spreadsheetml/2006/main">
  <numFmts count="5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US$&quot;#,##0_);\(&quot;US$&quot;#,##0\)"/>
    <numFmt numFmtId="181" formatCode="&quot;US$&quot;#,##0_);[Red]\(&quot;US$&quot;#,##0\)"/>
    <numFmt numFmtId="182" formatCode="&quot;US$&quot;#,##0.00_);\(&quot;US$&quot;#,##0.00\)"/>
    <numFmt numFmtId="183" formatCode="&quot;US$&quot;#,##0.00_);[Red]\(&quot;US$&quot;#,##0.00\)"/>
    <numFmt numFmtId="184" formatCode="0.0000E+00;&quot;宐&quot;"/>
    <numFmt numFmtId="185" formatCode="0.0000E+00;&quot;羈&quot;"/>
    <numFmt numFmtId="186" formatCode="0.000E+00;&quot;羈&quot;"/>
    <numFmt numFmtId="187" formatCode="0.00E+00;&quot;羈&quot;"/>
    <numFmt numFmtId="188" formatCode="0.0E+00;&quot;羈&quot;"/>
    <numFmt numFmtId="189" formatCode="0.00000E+00;&quot;羈&quot;"/>
    <numFmt numFmtId="190" formatCode="0.000000E+00;&quot;羈&quot;"/>
    <numFmt numFmtId="191" formatCode="0.0000000E+00;&quot;羈&quot;"/>
    <numFmt numFmtId="192" formatCode="0.00000000E+00;&quot;羈&quot;"/>
    <numFmt numFmtId="193" formatCode="_(* #,##0.0_);_(* \(#,##0.0\);_(* &quot;-&quot;??_);_(@_)"/>
    <numFmt numFmtId="194" formatCode="_(* #,##0_);_(* \(#,##0\);_(* &quot;-&quot;?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09]h:mm:ss\ AM/PM"/>
    <numFmt numFmtId="200" formatCode="[$-409]dddd\,\ mmmm\ dd\,\ yyyy"/>
    <numFmt numFmtId="201" formatCode="0.00&quot;%&quot;"/>
    <numFmt numFmtId="202" formatCode="0.0%"/>
    <numFmt numFmtId="203" formatCode="mmm\-yyyy"/>
    <numFmt numFmtId="204" formatCode="_(* #,##0.000_);_(* \(#,##0.000\);_(* &quot;-&quot;??_);_(@_)"/>
    <numFmt numFmtId="205" formatCode="#.##0;[Red]#.##0"/>
    <numFmt numFmtId="206" formatCode="mmm/yyyy"/>
    <numFmt numFmtId="207" formatCode="[$-409]mmmm\ dd\,\ yyyy"/>
    <numFmt numFmtId="208" formatCode="0.0"/>
    <numFmt numFmtId="209" formatCode="_(* #.##0.00_);_(* \(#.##0.00\);_(* &quot;-&quot;??_);_(@_)"/>
  </numFmts>
  <fonts count="75">
    <font>
      <sz val="14"/>
      <name val="Times New Roman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MingLiU"/>
      <family val="3"/>
    </font>
    <font>
      <b/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3"/>
      <color indexed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color indexed="12"/>
      <name val="Times New Roman"/>
      <family val="1"/>
    </font>
    <font>
      <sz val="7"/>
      <name val="Times New Roman"/>
      <family val="1"/>
    </font>
    <font>
      <i/>
      <sz val="16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0000FF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28" borderId="2" applyNumberFormat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49" fontId="1" fillId="0" borderId="0" xfId="65" applyNumberFormat="1">
      <alignment/>
      <protection/>
    </xf>
    <xf numFmtId="49" fontId="11" fillId="0" borderId="10" xfId="65" applyNumberFormat="1" applyFont="1" applyBorder="1" applyAlignment="1">
      <alignment horizontal="center"/>
      <protection/>
    </xf>
    <xf numFmtId="49" fontId="1" fillId="0" borderId="0" xfId="65" applyNumberFormat="1" applyAlignment="1" applyProtection="1">
      <alignment horizontal="center" vertical="center" wrapText="1"/>
      <protection locked="0"/>
    </xf>
    <xf numFmtId="49" fontId="1" fillId="0" borderId="0" xfId="65" applyNumberFormat="1" applyFont="1" applyAlignment="1" applyProtection="1">
      <alignment horizontal="center" vertical="center" wrapText="1"/>
      <protection locked="0"/>
    </xf>
    <xf numFmtId="49" fontId="14" fillId="0" borderId="0" xfId="65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65" applyNumberFormat="1" applyProtection="1">
      <alignment/>
      <protection/>
    </xf>
    <xf numFmtId="194" fontId="11" fillId="33" borderId="10" xfId="41" applyNumberFormat="1" applyFont="1" applyFill="1" applyBorder="1" applyAlignment="1" applyProtection="1">
      <alignment/>
      <protection/>
    </xf>
    <xf numFmtId="194" fontId="1" fillId="0" borderId="10" xfId="41" applyNumberFormat="1" applyFont="1" applyBorder="1" applyAlignment="1" applyProtection="1">
      <alignment/>
      <protection/>
    </xf>
    <xf numFmtId="49" fontId="6" fillId="0" borderId="0" xfId="65" applyNumberFormat="1" applyFont="1" applyProtection="1">
      <alignment/>
      <protection/>
    </xf>
    <xf numFmtId="49" fontId="9" fillId="0" borderId="0" xfId="65" applyNumberFormat="1" applyFont="1" applyAlignment="1" applyProtection="1">
      <alignment/>
      <protection/>
    </xf>
    <xf numFmtId="49" fontId="8" fillId="0" borderId="0" xfId="65" applyNumberFormat="1" applyFont="1" applyProtection="1">
      <alignment/>
      <protection/>
    </xf>
    <xf numFmtId="49" fontId="8" fillId="34" borderId="0" xfId="65" applyNumberFormat="1" applyFont="1" applyFill="1" applyProtection="1">
      <alignment/>
      <protection/>
    </xf>
    <xf numFmtId="49" fontId="8" fillId="35" borderId="0" xfId="65" applyNumberFormat="1" applyFont="1" applyFill="1" applyProtection="1">
      <alignment/>
      <protection/>
    </xf>
    <xf numFmtId="49" fontId="18" fillId="0" borderId="0" xfId="65" applyNumberFormat="1" applyFont="1" applyAlignment="1" applyProtection="1">
      <alignment horizontal="center" vertical="center" wrapText="1"/>
      <protection locked="0"/>
    </xf>
    <xf numFmtId="14" fontId="21" fillId="0" borderId="10" xfId="65" applyNumberFormat="1" applyFont="1" applyBorder="1" applyAlignment="1" applyProtection="1">
      <alignment horizontal="center" vertical="center" wrapText="1"/>
      <protection locked="0"/>
    </xf>
    <xf numFmtId="0" fontId="21" fillId="0" borderId="10" xfId="65" applyNumberFormat="1" applyFont="1" applyBorder="1" applyAlignment="1" applyProtection="1">
      <alignment horizontal="center" vertical="center" wrapText="1"/>
      <protection locked="0"/>
    </xf>
    <xf numFmtId="0" fontId="22" fillId="0" borderId="10" xfId="65" applyNumberFormat="1" applyFont="1" applyFill="1" applyBorder="1" applyAlignment="1" applyProtection="1" quotePrefix="1">
      <alignment horizontal="center" vertical="center" wrapText="1"/>
      <protection locked="0"/>
    </xf>
    <xf numFmtId="49" fontId="22" fillId="0" borderId="10" xfId="65" applyNumberFormat="1" applyFont="1" applyFill="1" applyBorder="1" applyAlignment="1" applyProtection="1" quotePrefix="1">
      <alignment horizontal="center" vertical="center" wrapText="1"/>
      <protection locked="0"/>
    </xf>
    <xf numFmtId="194" fontId="21" fillId="0" borderId="10" xfId="41" applyNumberFormat="1" applyFont="1" applyBorder="1" applyAlignment="1" applyProtection="1">
      <alignment horizontal="right" vertical="center" wrapText="1" indent="1"/>
      <protection locked="0"/>
    </xf>
    <xf numFmtId="0" fontId="21" fillId="0" borderId="10" xfId="65" applyNumberFormat="1" applyFont="1" applyBorder="1" applyAlignment="1" applyProtection="1">
      <alignment horizontal="left" vertical="center" wrapText="1" indent="1"/>
      <protection locked="0"/>
    </xf>
    <xf numFmtId="49" fontId="11" fillId="0" borderId="10" xfId="65" applyNumberFormat="1" applyFont="1" applyBorder="1" applyAlignment="1">
      <alignment horizontal="left"/>
      <protection/>
    </xf>
    <xf numFmtId="49" fontId="22" fillId="0" borderId="10" xfId="65" applyNumberFormat="1" applyFont="1" applyBorder="1" applyAlignment="1">
      <alignment horizontal="center"/>
      <protection/>
    </xf>
    <xf numFmtId="0" fontId="24" fillId="0" borderId="10" xfId="65" applyNumberFormat="1" applyFont="1" applyBorder="1" applyAlignment="1" applyProtection="1">
      <alignment horizontal="left" vertical="center" wrapText="1"/>
      <protection locked="0"/>
    </xf>
    <xf numFmtId="49" fontId="1" fillId="0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65" applyNumberFormat="1" applyFont="1" applyAlignment="1" applyProtection="1">
      <alignment vertical="center" wrapText="1"/>
      <protection locked="0"/>
    </xf>
    <xf numFmtId="49" fontId="1" fillId="0" borderId="0" xfId="65" applyNumberFormat="1" applyProtection="1">
      <alignment/>
      <protection locked="0"/>
    </xf>
    <xf numFmtId="49" fontId="6" fillId="0" borderId="0" xfId="65" applyNumberFormat="1" applyFont="1" applyProtection="1">
      <alignment/>
      <protection locked="0"/>
    </xf>
    <xf numFmtId="49" fontId="9" fillId="0" borderId="0" xfId="65" applyNumberFormat="1" applyFont="1" applyFill="1" applyAlignment="1" applyProtection="1">
      <alignment/>
      <protection locked="0"/>
    </xf>
    <xf numFmtId="49" fontId="10" fillId="0" borderId="0" xfId="65" applyNumberFormat="1" applyFont="1" applyFill="1" applyAlignment="1" applyProtection="1">
      <alignment/>
      <protection locked="0"/>
    </xf>
    <xf numFmtId="49" fontId="1" fillId="0" borderId="0" xfId="65" applyNumberFormat="1" applyFill="1" applyProtection="1">
      <alignment/>
      <protection locked="0"/>
    </xf>
    <xf numFmtId="49" fontId="8" fillId="0" borderId="0" xfId="65" applyNumberFormat="1" applyFont="1" applyFill="1" applyProtection="1">
      <alignment/>
      <protection locked="0"/>
    </xf>
    <xf numFmtId="49" fontId="11" fillId="33" borderId="10" xfId="65" applyNumberFormat="1" applyFont="1" applyFill="1" applyBorder="1" applyProtection="1">
      <alignment/>
      <protection locked="0"/>
    </xf>
    <xf numFmtId="179" fontId="12" fillId="33" borderId="10" xfId="41" applyFont="1" applyFill="1" applyBorder="1" applyAlignment="1" applyProtection="1">
      <alignment/>
      <protection locked="0"/>
    </xf>
    <xf numFmtId="49" fontId="1" fillId="0" borderId="10" xfId="65" applyNumberFormat="1" applyFont="1" applyBorder="1" applyAlignment="1" applyProtection="1">
      <alignment horizontal="left" indent="2"/>
      <protection locked="0"/>
    </xf>
    <xf numFmtId="201" fontId="1" fillId="0" borderId="10" xfId="41" applyNumberFormat="1" applyFont="1" applyBorder="1" applyAlignment="1" applyProtection="1">
      <alignment/>
      <protection locked="0"/>
    </xf>
    <xf numFmtId="0" fontId="26" fillId="36" borderId="10" xfId="65" applyNumberFormat="1" applyFont="1" applyFill="1" applyBorder="1" applyAlignment="1" applyProtection="1">
      <alignment horizontal="center" vertical="center" wrapText="1"/>
      <protection/>
    </xf>
    <xf numFmtId="194" fontId="26" fillId="36" borderId="10" xfId="41" applyNumberFormat="1" applyFont="1" applyFill="1" applyBorder="1" applyAlignment="1" applyProtection="1">
      <alignment horizontal="center" vertical="center" wrapText="1"/>
      <protection/>
    </xf>
    <xf numFmtId="0" fontId="26" fillId="36" borderId="10" xfId="41" applyNumberFormat="1" applyFont="1" applyFill="1" applyBorder="1" applyAlignment="1" applyProtection="1">
      <alignment horizontal="center" vertical="center" wrapText="1"/>
      <protection/>
    </xf>
    <xf numFmtId="0" fontId="71" fillId="12" borderId="10" xfId="65" applyNumberFormat="1" applyFont="1" applyFill="1" applyBorder="1" applyAlignment="1" applyProtection="1">
      <alignment horizontal="left" vertical="center" wrapText="1"/>
      <protection locked="0"/>
    </xf>
    <xf numFmtId="0" fontId="71" fillId="12" borderId="10" xfId="65" applyNumberFormat="1" applyFont="1" applyFill="1" applyBorder="1" applyAlignment="1" applyProtection="1">
      <alignment horizontal="center" vertical="center" wrapText="1"/>
      <protection locked="0"/>
    </xf>
    <xf numFmtId="194" fontId="71" fillId="12" borderId="10" xfId="41" applyNumberFormat="1" applyFont="1" applyFill="1" applyBorder="1" applyAlignment="1" applyProtection="1">
      <alignment horizontal="center" vertical="center" wrapText="1"/>
      <protection locked="0"/>
    </xf>
    <xf numFmtId="0" fontId="71" fillId="12" borderId="10" xfId="65" applyNumberFormat="1" applyFont="1" applyFill="1" applyBorder="1" applyAlignment="1" applyProtection="1">
      <alignment horizontal="center" vertical="center" wrapText="1"/>
      <protection/>
    </xf>
    <xf numFmtId="194" fontId="71" fillId="12" borderId="10" xfId="41" applyNumberFormat="1" applyFont="1" applyFill="1" applyBorder="1" applyAlignment="1" applyProtection="1">
      <alignment horizontal="right" vertical="center" wrapText="1" indent="1"/>
      <protection locked="0"/>
    </xf>
    <xf numFmtId="0" fontId="27" fillId="9" borderId="10" xfId="65" applyNumberFormat="1" applyFont="1" applyFill="1" applyBorder="1" applyAlignment="1" applyProtection="1">
      <alignment horizontal="left" vertical="center" wrapText="1"/>
      <protection locked="0"/>
    </xf>
    <xf numFmtId="0" fontId="27" fillId="9" borderId="10" xfId="65" applyNumberFormat="1" applyFont="1" applyFill="1" applyBorder="1" applyAlignment="1" applyProtection="1">
      <alignment horizontal="center" vertical="center" wrapText="1"/>
      <protection locked="0"/>
    </xf>
    <xf numFmtId="194" fontId="24" fillId="9" borderId="10" xfId="41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65" applyNumberFormat="1" applyBorder="1" applyAlignment="1" applyProtection="1">
      <alignment horizontal="center" vertical="center" wrapText="1"/>
      <protection locked="0"/>
    </xf>
    <xf numFmtId="49" fontId="11" fillId="36" borderId="10" xfId="65" applyNumberFormat="1" applyFont="1" applyFill="1" applyBorder="1" applyAlignment="1">
      <alignment horizontal="center"/>
      <protection/>
    </xf>
    <xf numFmtId="49" fontId="11" fillId="36" borderId="10" xfId="65" applyNumberFormat="1" applyFont="1" applyFill="1" applyBorder="1" applyAlignment="1">
      <alignment horizontal="left"/>
      <protection/>
    </xf>
    <xf numFmtId="49" fontId="22" fillId="36" borderId="10" xfId="65" applyNumberFormat="1" applyFont="1" applyFill="1" applyBorder="1" applyAlignment="1">
      <alignment horizontal="center"/>
      <protection/>
    </xf>
    <xf numFmtId="49" fontId="22" fillId="36" borderId="10" xfId="65" applyNumberFormat="1" applyFont="1" applyFill="1" applyBorder="1">
      <alignment/>
      <protection/>
    </xf>
    <xf numFmtId="49" fontId="1" fillId="36" borderId="10" xfId="65" applyNumberFormat="1" applyFill="1" applyBorder="1" applyAlignment="1">
      <alignment horizontal="center"/>
      <protection/>
    </xf>
    <xf numFmtId="49" fontId="1" fillId="36" borderId="10" xfId="65" applyNumberFormat="1" applyFont="1" applyFill="1" applyBorder="1" applyAlignment="1">
      <alignment wrapText="1"/>
      <protection/>
    </xf>
    <xf numFmtId="49" fontId="22" fillId="36" borderId="10" xfId="65" applyNumberFormat="1" applyFont="1" applyFill="1" applyBorder="1" applyAlignment="1">
      <alignment wrapText="1"/>
      <protection/>
    </xf>
    <xf numFmtId="49" fontId="1" fillId="36" borderId="10" xfId="65" applyNumberFormat="1" applyFill="1" applyBorder="1" applyAlignment="1">
      <alignment wrapText="1"/>
      <protection/>
    </xf>
    <xf numFmtId="49" fontId="22" fillId="0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65" applyNumberFormat="1" applyFont="1" applyBorder="1" applyAlignment="1">
      <alignment/>
      <protection/>
    </xf>
    <xf numFmtId="49" fontId="5" fillId="0" borderId="0" xfId="65" applyNumberFormat="1" applyFont="1" applyProtection="1">
      <alignment/>
      <protection locked="0"/>
    </xf>
    <xf numFmtId="49" fontId="1" fillId="0" borderId="0" xfId="65" applyNumberFormat="1" applyAlignment="1" applyProtection="1">
      <alignment horizontal="left" vertical="center"/>
      <protection locked="0"/>
    </xf>
    <xf numFmtId="49" fontId="5" fillId="0" borderId="0" xfId="65" applyNumberFormat="1" applyFont="1" applyAlignment="1" applyProtection="1">
      <alignment horizontal="left" vertical="center" wrapText="1"/>
      <protection locked="0"/>
    </xf>
    <xf numFmtId="49" fontId="5" fillId="0" borderId="10" xfId="65" applyNumberFormat="1" applyFont="1" applyBorder="1" applyAlignment="1">
      <alignment horizontal="left"/>
      <protection/>
    </xf>
    <xf numFmtId="49" fontId="5" fillId="0" borderId="10" xfId="65" applyNumberFormat="1" applyFont="1" applyFill="1" applyBorder="1" applyAlignment="1">
      <alignment horizontal="center"/>
      <protection/>
    </xf>
    <xf numFmtId="49" fontId="5" fillId="0" borderId="10" xfId="65" applyNumberFormat="1" applyFont="1" applyFill="1" applyBorder="1" applyAlignment="1">
      <alignment wrapText="1"/>
      <protection/>
    </xf>
    <xf numFmtId="194" fontId="1" fillId="0" borderId="10" xfId="41" applyNumberFormat="1" applyFont="1" applyFill="1" applyBorder="1" applyAlignment="1" applyProtection="1">
      <alignment horizontal="left" vertical="center" wrapText="1" indent="1"/>
      <protection locked="0"/>
    </xf>
    <xf numFmtId="194" fontId="28" fillId="33" borderId="10" xfId="41" applyNumberFormat="1" applyFont="1" applyFill="1" applyBorder="1" applyAlignment="1" applyProtection="1">
      <alignment horizontal="right" vertical="center" wrapText="1" indent="1"/>
      <protection/>
    </xf>
    <xf numFmtId="194" fontId="21" fillId="0" borderId="10" xfId="41" applyNumberFormat="1" applyFont="1" applyBorder="1" applyAlignment="1" applyProtection="1">
      <alignment horizontal="right" vertical="center" wrapText="1" indent="1"/>
      <protection/>
    </xf>
    <xf numFmtId="0" fontId="15" fillId="33" borderId="10" xfId="65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65" applyNumberFormat="1" applyFont="1" applyAlignment="1" applyProtection="1">
      <alignment/>
      <protection locked="0"/>
    </xf>
    <xf numFmtId="49" fontId="25" fillId="0" borderId="0" xfId="65" applyNumberFormat="1" applyFont="1" applyAlignment="1" applyProtection="1">
      <alignment/>
      <protection locked="0"/>
    </xf>
    <xf numFmtId="49" fontId="7" fillId="0" borderId="10" xfId="65" applyNumberFormat="1" applyFont="1" applyFill="1" applyBorder="1" applyAlignment="1" applyProtection="1">
      <alignment horizontal="center" vertical="center" wrapText="1"/>
      <protection locked="0"/>
    </xf>
    <xf numFmtId="49" fontId="15" fillId="33" borderId="10" xfId="65" applyNumberFormat="1" applyFont="1" applyFill="1" applyBorder="1" applyAlignment="1" applyProtection="1">
      <alignment horizontal="center" vertical="center" wrapText="1"/>
      <protection locked="0"/>
    </xf>
    <xf numFmtId="194" fontId="29" fillId="0" borderId="0" xfId="41" applyNumberFormat="1" applyFont="1" applyAlignment="1" applyProtection="1">
      <alignment/>
      <protection/>
    </xf>
    <xf numFmtId="49" fontId="23" fillId="0" borderId="10" xfId="65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65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71" fillId="12" borderId="10" xfId="0" applyFont="1" applyFill="1" applyBorder="1" applyAlignment="1" applyProtection="1">
      <alignment horizontal="center" vertical="center"/>
      <protection locked="0"/>
    </xf>
    <xf numFmtId="0" fontId="21" fillId="9" borderId="10" xfId="65" applyNumberFormat="1" applyFont="1" applyFill="1" applyBorder="1" applyAlignment="1" applyProtection="1">
      <alignment horizontal="center" vertical="center" wrapText="1"/>
      <protection locked="0"/>
    </xf>
    <xf numFmtId="49" fontId="11" fillId="33" borderId="10" xfId="65" applyNumberFormat="1" applyFont="1" applyFill="1" applyBorder="1" applyAlignment="1" applyProtection="1">
      <alignment horizontal="center"/>
      <protection locked="0"/>
    </xf>
    <xf numFmtId="49" fontId="12" fillId="33" borderId="10" xfId="65" applyNumberFormat="1" applyFont="1" applyFill="1" applyBorder="1" applyProtection="1">
      <alignment/>
      <protection locked="0"/>
    </xf>
    <xf numFmtId="49" fontId="1" fillId="0" borderId="10" xfId="65" applyNumberFormat="1" applyFont="1" applyBorder="1" applyAlignment="1" applyProtection="1">
      <alignment horizontal="center"/>
      <protection locked="0"/>
    </xf>
    <xf numFmtId="49" fontId="1" fillId="0" borderId="10" xfId="65" applyNumberFormat="1" applyFont="1" applyBorder="1" applyProtection="1">
      <alignment/>
      <protection locked="0"/>
    </xf>
    <xf numFmtId="0" fontId="21" fillId="37" borderId="10" xfId="65" applyNumberFormat="1" applyFont="1" applyFill="1" applyBorder="1" applyAlignment="1" applyProtection="1">
      <alignment horizontal="center" vertical="center" wrapText="1"/>
      <protection locked="0"/>
    </xf>
    <xf numFmtId="194" fontId="21" fillId="37" borderId="10" xfId="43" applyNumberFormat="1" applyFont="1" applyFill="1" applyBorder="1" applyAlignment="1" applyProtection="1">
      <alignment horizontal="center" vertical="center" wrapText="1"/>
      <protection locked="0"/>
    </xf>
    <xf numFmtId="194" fontId="21" fillId="0" borderId="10" xfId="41" applyNumberFormat="1" applyFont="1" applyBorder="1" applyAlignment="1" applyProtection="1">
      <alignment horizontal="center" vertical="center" wrapText="1"/>
      <protection locked="0"/>
    </xf>
    <xf numFmtId="37" fontId="21" fillId="0" borderId="10" xfId="41" applyNumberFormat="1" applyFont="1" applyBorder="1" applyAlignment="1">
      <alignment horizontal="center"/>
    </xf>
    <xf numFmtId="0" fontId="72" fillId="0" borderId="10" xfId="0" applyFont="1" applyBorder="1" applyAlignment="1">
      <alignment horizontal="center" wrapText="1"/>
    </xf>
    <xf numFmtId="49" fontId="1" fillId="0" borderId="0" xfId="65" applyNumberFormat="1" applyAlignment="1" applyProtection="1">
      <alignment horizontal="left" vertical="center" wrapText="1"/>
      <protection locked="0"/>
    </xf>
    <xf numFmtId="205" fontId="1" fillId="0" borderId="0" xfId="65" applyNumberFormat="1" applyProtection="1">
      <alignment/>
      <protection locked="0"/>
    </xf>
    <xf numFmtId="49" fontId="5" fillId="0" borderId="0" xfId="65" applyNumberFormat="1" applyFont="1" applyAlignment="1" applyProtection="1">
      <alignment horizontal="center" vertical="center" wrapText="1"/>
      <protection locked="0"/>
    </xf>
    <xf numFmtId="194" fontId="6" fillId="0" borderId="10" xfId="41" applyNumberFormat="1" applyFont="1" applyFill="1" applyBorder="1" applyAlignment="1" applyProtection="1">
      <alignment vertical="center" wrapText="1"/>
      <protection locked="0"/>
    </xf>
    <xf numFmtId="14" fontId="6" fillId="0" borderId="10" xfId="0" applyNumberFormat="1" applyFont="1" applyBorder="1" applyAlignment="1" applyProtection="1">
      <alignment vertical="center" wrapText="1"/>
      <protection locked="0"/>
    </xf>
    <xf numFmtId="194" fontId="71" fillId="12" borderId="10" xfId="65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65" applyNumberFormat="1" applyFont="1" applyBorder="1" applyAlignment="1" applyProtection="1">
      <alignment horizontal="center" vertical="center" wrapText="1"/>
      <protection locked="0"/>
    </xf>
    <xf numFmtId="49" fontId="21" fillId="37" borderId="10" xfId="65" applyNumberFormat="1" applyFont="1" applyFill="1" applyBorder="1" applyAlignment="1" applyProtection="1">
      <alignment horizontal="center" vertical="center" wrapText="1"/>
      <protection locked="0"/>
    </xf>
    <xf numFmtId="194" fontId="21" fillId="37" borderId="10" xfId="41" applyNumberFormat="1" applyFont="1" applyFill="1" applyBorder="1" applyAlignment="1" applyProtection="1">
      <alignment horizontal="center" vertical="center" wrapText="1"/>
      <protection locked="0"/>
    </xf>
    <xf numFmtId="194" fontId="6" fillId="0" borderId="11" xfId="41" applyNumberFormat="1" applyFont="1" applyFill="1" applyBorder="1" applyAlignment="1" applyProtection="1">
      <alignment vertical="center" wrapText="1"/>
      <protection locked="0"/>
    </xf>
    <xf numFmtId="194" fontId="6" fillId="0" borderId="10" xfId="41" applyNumberFormat="1" applyFont="1" applyFill="1" applyBorder="1" applyAlignment="1" applyProtection="1">
      <alignment vertical="top" wrapText="1"/>
      <protection locked="0"/>
    </xf>
    <xf numFmtId="49" fontId="1" fillId="0" borderId="0" xfId="65" applyNumberFormat="1" applyFont="1" applyProtection="1">
      <alignment/>
      <protection locked="0"/>
    </xf>
    <xf numFmtId="194" fontId="6" fillId="0" borderId="12" xfId="41" applyNumberFormat="1" applyFont="1" applyFill="1" applyBorder="1" applyAlignment="1" applyProtection="1">
      <alignment vertical="center" wrapText="1"/>
      <protection locked="0"/>
    </xf>
    <xf numFmtId="0" fontId="21" fillId="0" borderId="0" xfId="65" applyNumberFormat="1" applyFont="1" applyBorder="1" applyAlignment="1" applyProtection="1">
      <alignment horizontal="center" vertical="center" wrapText="1"/>
      <protection locked="0"/>
    </xf>
    <xf numFmtId="194" fontId="6" fillId="0" borderId="0" xfId="41" applyNumberFormat="1" applyFont="1" applyFill="1" applyBorder="1" applyAlignment="1" applyProtection="1">
      <alignment vertical="center" wrapText="1"/>
      <protection locked="0"/>
    </xf>
    <xf numFmtId="49" fontId="21" fillId="0" borderId="0" xfId="65" applyNumberFormat="1" applyFont="1" applyBorder="1" applyAlignment="1" applyProtection="1">
      <alignment horizontal="center" vertical="center" wrapText="1"/>
      <protection locked="0"/>
    </xf>
    <xf numFmtId="14" fontId="6" fillId="0" borderId="0" xfId="0" applyNumberFormat="1" applyFont="1" applyBorder="1" applyAlignment="1" applyProtection="1">
      <alignment vertical="center" wrapText="1"/>
      <protection locked="0"/>
    </xf>
    <xf numFmtId="0" fontId="21" fillId="37" borderId="0" xfId="65" applyNumberFormat="1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Border="1" applyAlignment="1">
      <alignment horizontal="center" wrapText="1"/>
    </xf>
    <xf numFmtId="49" fontId="21" fillId="37" borderId="0" xfId="65" applyNumberFormat="1" applyFont="1" applyFill="1" applyBorder="1" applyAlignment="1" applyProtection="1">
      <alignment horizontal="center" vertical="center" wrapText="1"/>
      <protection locked="0"/>
    </xf>
    <xf numFmtId="194" fontId="21" fillId="0" borderId="0" xfId="41" applyNumberFormat="1" applyFont="1" applyBorder="1" applyAlignment="1" applyProtection="1">
      <alignment horizontal="center" vertical="center" wrapText="1"/>
      <protection locked="0"/>
    </xf>
    <xf numFmtId="194" fontId="24" fillId="0" borderId="10" xfId="41" applyNumberFormat="1" applyFont="1" applyFill="1" applyBorder="1" applyAlignment="1" applyProtection="1">
      <alignment vertical="center" wrapText="1"/>
      <protection locked="0"/>
    </xf>
    <xf numFmtId="194" fontId="21" fillId="0" borderId="10" xfId="41" applyNumberFormat="1" applyFont="1" applyFill="1" applyBorder="1" applyAlignment="1" applyProtection="1">
      <alignment vertical="center" wrapText="1"/>
      <protection locked="0"/>
    </xf>
    <xf numFmtId="37" fontId="21" fillId="0" borderId="10" xfId="41" applyNumberFormat="1" applyFont="1" applyBorder="1" applyAlignment="1">
      <alignment horizontal="right"/>
    </xf>
    <xf numFmtId="194" fontId="0" fillId="0" borderId="0" xfId="0" applyNumberFormat="1" applyAlignment="1">
      <alignment/>
    </xf>
    <xf numFmtId="194" fontId="6" fillId="0" borderId="13" xfId="41" applyNumberFormat="1" applyFont="1" applyFill="1" applyBorder="1" applyAlignment="1" applyProtection="1">
      <alignment vertical="center" wrapText="1"/>
      <protection locked="0"/>
    </xf>
    <xf numFmtId="14" fontId="73" fillId="0" borderId="10" xfId="0" applyNumberFormat="1" applyFont="1" applyBorder="1" applyAlignment="1" applyProtection="1">
      <alignment vertical="center" wrapText="1"/>
      <protection locked="0"/>
    </xf>
    <xf numFmtId="14" fontId="73" fillId="0" borderId="11" xfId="0" applyNumberFormat="1" applyFont="1" applyBorder="1" applyAlignment="1" applyProtection="1">
      <alignment vertical="center" wrapText="1"/>
      <protection locked="0"/>
    </xf>
    <xf numFmtId="194" fontId="74" fillId="37" borderId="10" xfId="41" applyNumberFormat="1" applyFont="1" applyFill="1" applyBorder="1" applyAlignment="1" applyProtection="1">
      <alignment vertical="center" wrapText="1"/>
      <protection locked="0"/>
    </xf>
    <xf numFmtId="14" fontId="73" fillId="37" borderId="10" xfId="0" applyNumberFormat="1" applyFont="1" applyFill="1" applyBorder="1" applyAlignment="1" applyProtection="1">
      <alignment vertical="center" wrapText="1"/>
      <protection locked="0"/>
    </xf>
    <xf numFmtId="14" fontId="74" fillId="0" borderId="11" xfId="0" applyNumberFormat="1" applyFont="1" applyBorder="1" applyAlignment="1" applyProtection="1">
      <alignment vertical="center" wrapText="1"/>
      <protection locked="0"/>
    </xf>
    <xf numFmtId="14" fontId="74" fillId="0" borderId="10" xfId="0" applyNumberFormat="1" applyFont="1" applyBorder="1" applyAlignment="1" applyProtection="1">
      <alignment vertical="center" wrapText="1"/>
      <protection locked="0"/>
    </xf>
    <xf numFmtId="14" fontId="74" fillId="37" borderId="10" xfId="0" applyNumberFormat="1" applyFont="1" applyFill="1" applyBorder="1" applyAlignment="1" applyProtection="1">
      <alignment vertical="center" wrapText="1"/>
      <protection locked="0"/>
    </xf>
    <xf numFmtId="0" fontId="73" fillId="37" borderId="10" xfId="0" applyFont="1" applyFill="1" applyBorder="1" applyAlignment="1">
      <alignment horizontal="center" wrapText="1"/>
    </xf>
    <xf numFmtId="194" fontId="74" fillId="36" borderId="10" xfId="41" applyNumberFormat="1" applyFont="1" applyFill="1" applyBorder="1" applyAlignment="1" applyProtection="1">
      <alignment vertical="center" wrapText="1"/>
      <protection locked="0"/>
    </xf>
    <xf numFmtId="14" fontId="73" fillId="36" borderId="10" xfId="0" applyNumberFormat="1" applyFont="1" applyFill="1" applyBorder="1" applyAlignment="1" applyProtection="1">
      <alignment vertical="center" wrapText="1"/>
      <protection locked="0"/>
    </xf>
    <xf numFmtId="49" fontId="21" fillId="36" borderId="10" xfId="65" applyNumberFormat="1" applyFont="1" applyFill="1" applyBorder="1" applyAlignment="1" applyProtection="1">
      <alignment horizontal="center" vertical="center" wrapText="1"/>
      <protection locked="0"/>
    </xf>
    <xf numFmtId="49" fontId="1" fillId="37" borderId="0" xfId="65" applyNumberFormat="1" applyFill="1" applyAlignment="1" applyProtection="1">
      <alignment horizontal="center" vertical="center" wrapText="1"/>
      <protection locked="0"/>
    </xf>
    <xf numFmtId="49" fontId="23" fillId="37" borderId="10" xfId="65" applyNumberFormat="1" applyFont="1" applyFill="1" applyBorder="1" applyAlignment="1" applyProtection="1">
      <alignment horizontal="center" vertical="center" wrapText="1"/>
      <protection locked="0"/>
    </xf>
    <xf numFmtId="49" fontId="22" fillId="37" borderId="10" xfId="65" applyNumberFormat="1" applyFont="1" applyFill="1" applyBorder="1" applyAlignment="1" applyProtection="1">
      <alignment horizontal="center" vertical="center" wrapText="1"/>
      <protection locked="0"/>
    </xf>
    <xf numFmtId="194" fontId="26" fillId="37" borderId="10" xfId="41" applyNumberFormat="1" applyFont="1" applyFill="1" applyBorder="1" applyAlignment="1" applyProtection="1">
      <alignment horizontal="center" vertical="center" wrapText="1"/>
      <protection/>
    </xf>
    <xf numFmtId="194" fontId="71" fillId="37" borderId="10" xfId="41" applyNumberFormat="1" applyFont="1" applyFill="1" applyBorder="1" applyAlignment="1" applyProtection="1">
      <alignment horizontal="right" vertical="center" wrapText="1" indent="1"/>
      <protection locked="0"/>
    </xf>
    <xf numFmtId="194" fontId="21" fillId="37" borderId="10" xfId="41" applyNumberFormat="1" applyFont="1" applyFill="1" applyBorder="1" applyAlignment="1" applyProtection="1">
      <alignment horizontal="right" vertical="center" wrapText="1" indent="1"/>
      <protection locked="0"/>
    </xf>
    <xf numFmtId="194" fontId="71" fillId="37" borderId="10" xfId="41" applyNumberFormat="1" applyFont="1" applyFill="1" applyBorder="1" applyAlignment="1" applyProtection="1">
      <alignment horizontal="center" vertical="center" wrapText="1"/>
      <protection locked="0"/>
    </xf>
    <xf numFmtId="194" fontId="21" fillId="37" borderId="0" xfId="41" applyNumberFormat="1" applyFont="1" applyFill="1" applyBorder="1" applyAlignment="1" applyProtection="1">
      <alignment horizontal="center" vertical="center" wrapText="1"/>
      <protection locked="0"/>
    </xf>
    <xf numFmtId="0" fontId="22" fillId="37" borderId="10" xfId="65" applyNumberFormat="1" applyFont="1" applyFill="1" applyBorder="1" applyAlignment="1" applyProtection="1" quotePrefix="1">
      <alignment horizontal="center" vertical="center" wrapText="1"/>
      <protection locked="0"/>
    </xf>
    <xf numFmtId="49" fontId="5" fillId="37" borderId="0" xfId="65" applyNumberFormat="1" applyFont="1" applyFill="1" applyAlignment="1" applyProtection="1">
      <alignment horizontal="center" vertical="center" wrapText="1"/>
      <protection locked="0"/>
    </xf>
    <xf numFmtId="194" fontId="6" fillId="37" borderId="13" xfId="41" applyNumberFormat="1" applyFont="1" applyFill="1" applyBorder="1" applyAlignment="1" applyProtection="1">
      <alignment vertical="center" wrapText="1"/>
      <protection locked="0"/>
    </xf>
    <xf numFmtId="194" fontId="20" fillId="37" borderId="10" xfId="41" applyNumberFormat="1" applyFont="1" applyFill="1" applyBorder="1" applyAlignment="1" applyProtection="1">
      <alignment horizontal="right" vertical="center" wrapText="1" indent="1"/>
      <protection locked="0"/>
    </xf>
    <xf numFmtId="194" fontId="20" fillId="9" borderId="10" xfId="41" applyNumberFormat="1" applyFont="1" applyFill="1" applyBorder="1" applyAlignment="1" applyProtection="1">
      <alignment horizontal="right" vertical="center" wrapText="1" indent="1"/>
      <protection locked="0"/>
    </xf>
    <xf numFmtId="0" fontId="21" fillId="36" borderId="10" xfId="65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65" applyNumberFormat="1" applyAlignment="1" applyProtection="1">
      <alignment horizontal="center" vertical="center" wrapText="1"/>
      <protection locked="0"/>
    </xf>
    <xf numFmtId="49" fontId="5" fillId="0" borderId="0" xfId="65" applyNumberFormat="1" applyFont="1" applyAlignment="1" applyProtection="1">
      <alignment horizontal="center" vertical="center" wrapText="1"/>
      <protection locked="0"/>
    </xf>
    <xf numFmtId="49" fontId="1" fillId="0" borderId="0" xfId="65" applyNumberFormat="1" applyAlignment="1" applyProtection="1">
      <alignment horizontal="center"/>
      <protection locked="0"/>
    </xf>
    <xf numFmtId="49" fontId="16" fillId="0" borderId="0" xfId="65" applyNumberFormat="1" applyFont="1" applyAlignment="1" applyProtection="1">
      <alignment horizontal="center" vertical="center" wrapText="1"/>
      <protection locked="0"/>
    </xf>
    <xf numFmtId="49" fontId="18" fillId="38" borderId="0" xfId="65" applyNumberFormat="1" applyFont="1" applyFill="1" applyAlignment="1" applyProtection="1">
      <alignment horizontal="center" vertical="center" wrapText="1"/>
      <protection locked="0"/>
    </xf>
    <xf numFmtId="49" fontId="1" fillId="0" borderId="0" xfId="65" applyNumberFormat="1" applyBorder="1" applyAlignment="1" applyProtection="1">
      <alignment horizontal="center" vertical="center" wrapText="1"/>
      <protection locked="0"/>
    </xf>
    <xf numFmtId="49" fontId="1" fillId="0" borderId="0" xfId="65" applyNumberFormat="1" applyAlignment="1" applyProtection="1">
      <alignment horizontal="center" vertical="center"/>
      <protection locked="0"/>
    </xf>
    <xf numFmtId="49" fontId="13" fillId="0" borderId="0" xfId="65" applyNumberFormat="1" applyFont="1" applyFill="1" applyBorder="1" applyAlignment="1" applyProtection="1">
      <alignment horizontal="center" vertical="center" wrapText="1"/>
      <protection locked="0"/>
    </xf>
    <xf numFmtId="49" fontId="17" fillId="0" borderId="0" xfId="65" applyNumberFormat="1" applyFont="1" applyBorder="1" applyAlignment="1" applyProtection="1">
      <alignment horizontal="right" vertical="center" wrapText="1"/>
      <protection locked="0"/>
    </xf>
    <xf numFmtId="49" fontId="5" fillId="0" borderId="0" xfId="65" applyNumberFormat="1" applyFont="1" applyAlignment="1" applyProtection="1">
      <alignment horizontal="center"/>
      <protection locked="0"/>
    </xf>
    <xf numFmtId="49" fontId="5" fillId="0" borderId="0" xfId="65" applyNumberFormat="1" applyFont="1" applyAlignment="1" applyProtection="1">
      <alignment horizontal="center"/>
      <protection locked="0"/>
    </xf>
    <xf numFmtId="49" fontId="19" fillId="0" borderId="0" xfId="65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65" applyNumberFormat="1" applyFont="1" applyFill="1" applyBorder="1" applyAlignment="1" applyProtection="1">
      <alignment horizontal="center" vertical="center"/>
      <protection locked="0"/>
    </xf>
    <xf numFmtId="49" fontId="16" fillId="0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65" applyNumberFormat="1" applyFont="1" applyAlignment="1" applyProtection="1">
      <alignment horizontal="center" wrapText="1"/>
      <protection locked="0"/>
    </xf>
    <xf numFmtId="49" fontId="1" fillId="0" borderId="0" xfId="65" applyNumberFormat="1" applyAlignment="1" applyProtection="1">
      <alignment horizontal="center"/>
      <protection/>
    </xf>
    <xf numFmtId="49" fontId="19" fillId="0" borderId="0" xfId="65" applyNumberFormat="1" applyFont="1" applyFill="1" applyBorder="1" applyAlignment="1" applyProtection="1">
      <alignment horizontal="center" vertical="center"/>
      <protection locked="0"/>
    </xf>
    <xf numFmtId="49" fontId="5" fillId="0" borderId="10" xfId="65" applyNumberFormat="1" applyFont="1" applyBorder="1" applyAlignment="1" applyProtection="1">
      <alignment horizontal="center" vertical="center" wrapText="1"/>
      <protection locked="0"/>
    </xf>
    <xf numFmtId="49" fontId="5" fillId="0" borderId="10" xfId="65" applyNumberFormat="1" applyFont="1" applyBorder="1" applyAlignment="1" applyProtection="1">
      <alignment horizontal="center" vertical="center"/>
      <protection locked="0"/>
    </xf>
    <xf numFmtId="49" fontId="5" fillId="0" borderId="0" xfId="65" applyNumberFormat="1" applyFont="1" applyAlignment="1" applyProtection="1">
      <alignment horizontal="center"/>
      <protection/>
    </xf>
    <xf numFmtId="49" fontId="13" fillId="34" borderId="14" xfId="65" applyNumberFormat="1" applyFont="1" applyFill="1" applyBorder="1" applyAlignment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rmal_Bieu mau nghiep vu ngay 19.6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37">
    <dxf>
      <fill>
        <patternFill>
          <bgColor rgb="FF00B0F0"/>
        </patternFill>
      </fill>
    </dxf>
    <dxf>
      <fill>
        <patternFill>
          <bgColor indexed="1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1</xdr:row>
      <xdr:rowOff>285750</xdr:rowOff>
    </xdr:from>
    <xdr:to>
      <xdr:col>3</xdr:col>
      <xdr:colOff>381000</xdr:colOff>
      <xdr:row>1</xdr:row>
      <xdr:rowOff>285750</xdr:rowOff>
    </xdr:to>
    <xdr:sp>
      <xdr:nvSpPr>
        <xdr:cNvPr id="1" name="Straight Connector 1"/>
        <xdr:cNvSpPr>
          <a:spLocks/>
        </xdr:cNvSpPr>
      </xdr:nvSpPr>
      <xdr:spPr>
        <a:xfrm>
          <a:off x="1247775" y="5524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770572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705725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838200</xdr:colOff>
      <xdr:row>2</xdr:row>
      <xdr:rowOff>9525</xdr:rowOff>
    </xdr:from>
    <xdr:to>
      <xdr:col>1</xdr:col>
      <xdr:colOff>2676525</xdr:colOff>
      <xdr:row>2</xdr:row>
      <xdr:rowOff>9525</xdr:rowOff>
    </xdr:to>
    <xdr:sp>
      <xdr:nvSpPr>
        <xdr:cNvPr id="3" name="Straight Connector 4"/>
        <xdr:cNvSpPr>
          <a:spLocks/>
        </xdr:cNvSpPr>
      </xdr:nvSpPr>
      <xdr:spPr>
        <a:xfrm>
          <a:off x="1247775" y="495300"/>
          <a:ext cx="1828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86702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286702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590550</xdr:colOff>
      <xdr:row>2</xdr:row>
      <xdr:rowOff>66675</xdr:rowOff>
    </xdr:from>
    <xdr:to>
      <xdr:col>1</xdr:col>
      <xdr:colOff>1562100</xdr:colOff>
      <xdr:row>2</xdr:row>
      <xdr:rowOff>66675</xdr:rowOff>
    </xdr:to>
    <xdr:sp>
      <xdr:nvSpPr>
        <xdr:cNvPr id="3" name="Straight Connector 6"/>
        <xdr:cNvSpPr>
          <a:spLocks/>
        </xdr:cNvSpPr>
      </xdr:nvSpPr>
      <xdr:spPr>
        <a:xfrm>
          <a:off x="914400" y="523875"/>
          <a:ext cx="971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39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39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R157"/>
  <sheetViews>
    <sheetView tabSelected="1" view="pageBreakPreview" zoomScale="78" zoomScaleSheetLayoutView="78" workbookViewId="0" topLeftCell="A1">
      <pane xSplit="14" ySplit="7" topLeftCell="O8" activePane="bottomRight" state="frozen"/>
      <selection pane="topLeft" activeCell="A1" sqref="A1"/>
      <selection pane="topRight" activeCell="O1" sqref="O1"/>
      <selection pane="bottomLeft" activeCell="A8" sqref="A8"/>
      <selection pane="bottomRight" activeCell="J133" sqref="J133"/>
    </sheetView>
  </sheetViews>
  <sheetFormatPr defaultColWidth="8.88671875" defaultRowHeight="18.75"/>
  <cols>
    <col min="1" max="1" width="4.4453125" style="3" customWidth="1"/>
    <col min="2" max="2" width="15.99609375" style="3" customWidth="1"/>
    <col min="3" max="3" width="8.10546875" style="3" customWidth="1"/>
    <col min="4" max="4" width="5.6640625" style="3" customWidth="1"/>
    <col min="5" max="5" width="9.4453125" style="3" customWidth="1"/>
    <col min="6" max="8" width="6.5546875" style="3" customWidth="1"/>
    <col min="9" max="9" width="10.99609375" style="3" customWidth="1"/>
    <col min="10" max="10" width="12.6640625" style="125" customWidth="1"/>
    <col min="11" max="11" width="10.99609375" style="3" customWidth="1"/>
    <col min="12" max="12" width="12.5546875" style="125" customWidth="1"/>
    <col min="13" max="13" width="30.10546875" style="3" customWidth="1"/>
    <col min="14" max="14" width="9.5546875" style="3" customWidth="1"/>
    <col min="15" max="15" width="11.77734375" style="3" customWidth="1"/>
    <col min="16" max="16384" width="8.88671875" style="3" customWidth="1"/>
  </cols>
  <sheetData>
    <row r="1" spans="1:15" ht="21" customHeight="1">
      <c r="A1" s="145" t="s">
        <v>233</v>
      </c>
      <c r="B1" s="145"/>
      <c r="C1" s="145"/>
      <c r="D1" s="145"/>
      <c r="E1" s="145"/>
      <c r="F1" s="145"/>
      <c r="G1" s="88"/>
      <c r="H1" s="59"/>
      <c r="I1" s="59"/>
      <c r="M1" s="143" t="s">
        <v>108</v>
      </c>
      <c r="N1" s="143"/>
      <c r="O1" s="143"/>
    </row>
    <row r="2" spans="1:9" ht="22.5" customHeight="1">
      <c r="A2" s="140" t="s">
        <v>163</v>
      </c>
      <c r="B2" s="140"/>
      <c r="C2" s="140"/>
      <c r="D2" s="140"/>
      <c r="E2" s="140"/>
      <c r="F2" s="140"/>
      <c r="G2" s="60"/>
      <c r="H2" s="60"/>
      <c r="I2" s="60"/>
    </row>
    <row r="3" spans="2:15" ht="3.75" customHeight="1">
      <c r="B3" s="14"/>
      <c r="O3" s="4" t="s">
        <v>21</v>
      </c>
    </row>
    <row r="4" spans="1:15" ht="47.25" customHeight="1">
      <c r="A4" s="146" t="s">
        <v>695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</row>
    <row r="5" spans="1:15" ht="35.25" customHeight="1">
      <c r="A5" s="5"/>
      <c r="B5" s="5"/>
      <c r="F5" s="5"/>
      <c r="G5" s="5"/>
      <c r="H5" s="5"/>
      <c r="I5" s="5"/>
      <c r="M5" s="47"/>
      <c r="N5" s="147" t="s">
        <v>209</v>
      </c>
      <c r="O5" s="147"/>
    </row>
    <row r="6" spans="1:18" ht="130.5" customHeight="1">
      <c r="A6" s="73" t="s">
        <v>20</v>
      </c>
      <c r="B6" s="73" t="s">
        <v>147</v>
      </c>
      <c r="C6" s="73" t="s">
        <v>148</v>
      </c>
      <c r="D6" s="73" t="s">
        <v>29</v>
      </c>
      <c r="E6" s="73" t="s">
        <v>49</v>
      </c>
      <c r="F6" s="73" t="s">
        <v>132</v>
      </c>
      <c r="G6" s="73" t="s">
        <v>130</v>
      </c>
      <c r="H6" s="73" t="s">
        <v>131</v>
      </c>
      <c r="I6" s="73" t="s">
        <v>149</v>
      </c>
      <c r="J6" s="126" t="s">
        <v>48</v>
      </c>
      <c r="K6" s="73" t="s">
        <v>46</v>
      </c>
      <c r="L6" s="126" t="s">
        <v>47</v>
      </c>
      <c r="M6" s="74" t="s">
        <v>133</v>
      </c>
      <c r="N6" s="73" t="s">
        <v>35</v>
      </c>
      <c r="O6" s="73" t="s">
        <v>0</v>
      </c>
      <c r="P6" s="144"/>
      <c r="Q6" s="139"/>
      <c r="R6" s="139"/>
    </row>
    <row r="7" spans="1:15" ht="20.25" customHeight="1">
      <c r="A7" s="75" t="s">
        <v>1</v>
      </c>
      <c r="B7" s="17" t="s">
        <v>36</v>
      </c>
      <c r="C7" s="17" t="s">
        <v>37</v>
      </c>
      <c r="D7" s="17" t="s">
        <v>38</v>
      </c>
      <c r="E7" s="17" t="s">
        <v>39</v>
      </c>
      <c r="F7" s="17" t="s">
        <v>40</v>
      </c>
      <c r="G7" s="56" t="s">
        <v>41</v>
      </c>
      <c r="H7" s="56" t="s">
        <v>42</v>
      </c>
      <c r="I7" s="56" t="s">
        <v>134</v>
      </c>
      <c r="J7" s="127" t="s">
        <v>43</v>
      </c>
      <c r="K7" s="56" t="s">
        <v>44</v>
      </c>
      <c r="L7" s="133" t="s">
        <v>135</v>
      </c>
      <c r="M7" s="18" t="s">
        <v>136</v>
      </c>
      <c r="N7" s="56" t="s">
        <v>50</v>
      </c>
      <c r="O7" s="56" t="s">
        <v>137</v>
      </c>
    </row>
    <row r="8" spans="1:15" s="4" customFormat="1" ht="15.75">
      <c r="A8" s="76" t="s">
        <v>45</v>
      </c>
      <c r="B8" s="36"/>
      <c r="C8" s="36"/>
      <c r="D8" s="36">
        <f>D11+D9</f>
        <v>131</v>
      </c>
      <c r="E8" s="36"/>
      <c r="F8" s="36">
        <f>F11+F9</f>
        <v>131</v>
      </c>
      <c r="G8" s="36">
        <f>G11+G9</f>
        <v>131</v>
      </c>
      <c r="H8" s="36"/>
      <c r="I8" s="36"/>
      <c r="J8" s="128">
        <f>J11+J9</f>
        <v>41125403</v>
      </c>
      <c r="K8" s="37">
        <f>K11+K9</f>
        <v>1059474</v>
      </c>
      <c r="L8" s="128">
        <f>L11+L9</f>
        <v>40065929</v>
      </c>
      <c r="M8" s="38">
        <f>M11+M9</f>
        <v>131</v>
      </c>
      <c r="N8" s="38">
        <f>N11+N9</f>
        <v>92</v>
      </c>
      <c r="O8" s="36"/>
    </row>
    <row r="9" spans="1:15" s="4" customFormat="1" ht="15.75">
      <c r="A9" s="77" t="s">
        <v>55</v>
      </c>
      <c r="B9" s="42" t="s">
        <v>53</v>
      </c>
      <c r="C9" s="40"/>
      <c r="D9" s="40">
        <f>COUNTA(D10:D10)</f>
        <v>0</v>
      </c>
      <c r="E9" s="40"/>
      <c r="F9" s="40">
        <f>COUNTA(F10:F10)</f>
        <v>0</v>
      </c>
      <c r="G9" s="40">
        <f>COUNTA(G10:G10)</f>
        <v>0</v>
      </c>
      <c r="H9" s="40"/>
      <c r="I9" s="40"/>
      <c r="J9" s="129">
        <f>SUM(J10:J10)</f>
        <v>0</v>
      </c>
      <c r="K9" s="43">
        <f>SUM(K10:K10)</f>
        <v>0</v>
      </c>
      <c r="L9" s="129">
        <f>IF(J9-K9=SUM(L10:L10),J9-K9,"Có sai sót")</f>
        <v>0</v>
      </c>
      <c r="M9" s="42">
        <f>COUNTA(M10:M10)</f>
        <v>0</v>
      </c>
      <c r="N9" s="42">
        <f>COUNTA(N10:N10)</f>
        <v>0</v>
      </c>
      <c r="O9" s="42"/>
    </row>
    <row r="10" spans="1:15" s="4" customFormat="1" ht="15.75">
      <c r="A10" s="16">
        <v>1</v>
      </c>
      <c r="B10" s="20"/>
      <c r="C10" s="15"/>
      <c r="D10" s="20"/>
      <c r="E10" s="15"/>
      <c r="F10" s="16"/>
      <c r="G10" s="16"/>
      <c r="H10" s="20"/>
      <c r="I10" s="15"/>
      <c r="J10" s="130"/>
      <c r="K10" s="19"/>
      <c r="L10" s="130"/>
      <c r="M10" s="23"/>
      <c r="N10" s="15"/>
      <c r="O10" s="16"/>
    </row>
    <row r="11" spans="1:15" s="4" customFormat="1" ht="27.75" customHeight="1">
      <c r="A11" s="40" t="s">
        <v>56</v>
      </c>
      <c r="B11" s="39" t="s">
        <v>54</v>
      </c>
      <c r="C11" s="40">
        <f aca="true" t="shared" si="0" ref="C11:N11">C12</f>
        <v>0</v>
      </c>
      <c r="D11" s="40">
        <f>D12</f>
        <v>131</v>
      </c>
      <c r="E11" s="40">
        <f t="shared" si="0"/>
        <v>0</v>
      </c>
      <c r="F11" s="40">
        <f t="shared" si="0"/>
        <v>131</v>
      </c>
      <c r="G11" s="40">
        <f>G12</f>
        <v>131</v>
      </c>
      <c r="H11" s="40">
        <f t="shared" si="0"/>
        <v>94</v>
      </c>
      <c r="I11" s="40">
        <f t="shared" si="0"/>
        <v>94</v>
      </c>
      <c r="J11" s="131">
        <f>J12</f>
        <v>41125403</v>
      </c>
      <c r="K11" s="41">
        <f t="shared" si="0"/>
        <v>1059474</v>
      </c>
      <c r="L11" s="131">
        <f>L12</f>
        <v>40065929</v>
      </c>
      <c r="M11" s="93">
        <f t="shared" si="0"/>
        <v>131</v>
      </c>
      <c r="N11" s="93">
        <f t="shared" si="0"/>
        <v>92</v>
      </c>
      <c r="O11" s="40"/>
    </row>
    <row r="12" spans="1:15" s="4" customFormat="1" ht="15.75">
      <c r="A12" s="45" t="s">
        <v>57</v>
      </c>
      <c r="B12" s="44" t="s">
        <v>58</v>
      </c>
      <c r="C12" s="45"/>
      <c r="D12" s="45">
        <f>COUNTA(D13:D144)</f>
        <v>131</v>
      </c>
      <c r="E12" s="45"/>
      <c r="F12" s="45">
        <f>COUNTA(F13:F144)</f>
        <v>131</v>
      </c>
      <c r="G12" s="45">
        <f>COUNTA(G13:G144)</f>
        <v>131</v>
      </c>
      <c r="H12" s="45">
        <f>COUNTA(H13:H144)</f>
        <v>94</v>
      </c>
      <c r="I12" s="45">
        <f>COUNTA(I13:I144)</f>
        <v>94</v>
      </c>
      <c r="J12" s="136">
        <f>SUM(J13:J144)</f>
        <v>41125403</v>
      </c>
      <c r="K12" s="137">
        <f>SUM(K13:K144)</f>
        <v>1059474</v>
      </c>
      <c r="L12" s="136">
        <f>IF(SUM(L13:L144)*J12-K12,SUM(L13:L144))</f>
        <v>40065929</v>
      </c>
      <c r="M12" s="46">
        <f>COUNTA(M13:M144)</f>
        <v>131</v>
      </c>
      <c r="N12" s="46">
        <f>COUNTA(N13:N144)</f>
        <v>92</v>
      </c>
      <c r="O12" s="78"/>
    </row>
    <row r="13" spans="1:15" s="4" customFormat="1" ht="45">
      <c r="A13" s="138">
        <v>1</v>
      </c>
      <c r="B13" s="91" t="s">
        <v>172</v>
      </c>
      <c r="C13" s="94" t="s">
        <v>153</v>
      </c>
      <c r="D13" s="94" t="s">
        <v>173</v>
      </c>
      <c r="E13" s="92">
        <v>42723</v>
      </c>
      <c r="F13" s="83" t="s">
        <v>129</v>
      </c>
      <c r="G13" s="87" t="s">
        <v>96</v>
      </c>
      <c r="H13" s="94" t="s">
        <v>174</v>
      </c>
      <c r="I13" s="94" t="s">
        <v>160</v>
      </c>
      <c r="J13" s="96">
        <v>1960</v>
      </c>
      <c r="K13" s="85">
        <v>0</v>
      </c>
      <c r="L13" s="96">
        <f aca="true" t="shared" si="1" ref="L13:L19">J13-K13</f>
        <v>1960</v>
      </c>
      <c r="M13" s="16" t="s">
        <v>138</v>
      </c>
      <c r="N13" s="95"/>
      <c r="O13" s="121" t="s">
        <v>175</v>
      </c>
    </row>
    <row r="14" spans="1:15" s="4" customFormat="1" ht="59.25" customHeight="1">
      <c r="A14" s="138">
        <v>2</v>
      </c>
      <c r="B14" s="98" t="s">
        <v>190</v>
      </c>
      <c r="C14" s="94" t="s">
        <v>192</v>
      </c>
      <c r="D14" s="94" t="s">
        <v>193</v>
      </c>
      <c r="E14" s="92">
        <v>43021</v>
      </c>
      <c r="F14" s="83" t="s">
        <v>24</v>
      </c>
      <c r="G14" s="87" t="s">
        <v>97</v>
      </c>
      <c r="H14" s="95" t="s">
        <v>194</v>
      </c>
      <c r="I14" s="95" t="s">
        <v>195</v>
      </c>
      <c r="J14" s="96">
        <v>5000</v>
      </c>
      <c r="K14" s="85">
        <v>0</v>
      </c>
      <c r="L14" s="96">
        <f t="shared" si="1"/>
        <v>5000</v>
      </c>
      <c r="M14" s="16" t="s">
        <v>138</v>
      </c>
      <c r="N14" s="95" t="s">
        <v>196</v>
      </c>
      <c r="O14" s="120" t="s">
        <v>191</v>
      </c>
    </row>
    <row r="15" spans="1:15" s="4" customFormat="1" ht="59.25" customHeight="1">
      <c r="A15" s="138">
        <v>3</v>
      </c>
      <c r="B15" s="97" t="s">
        <v>203</v>
      </c>
      <c r="C15" s="94" t="s">
        <v>204</v>
      </c>
      <c r="D15" s="94" t="s">
        <v>205</v>
      </c>
      <c r="E15" s="92">
        <v>43269</v>
      </c>
      <c r="F15" s="83" t="s">
        <v>24</v>
      </c>
      <c r="G15" s="87" t="s">
        <v>97</v>
      </c>
      <c r="H15" s="95" t="s">
        <v>206</v>
      </c>
      <c r="I15" s="95" t="s">
        <v>207</v>
      </c>
      <c r="J15" s="96">
        <v>4000</v>
      </c>
      <c r="K15" s="85">
        <v>0</v>
      </c>
      <c r="L15" s="96">
        <f t="shared" si="1"/>
        <v>4000</v>
      </c>
      <c r="M15" s="16" t="s">
        <v>138</v>
      </c>
      <c r="N15" s="95" t="s">
        <v>437</v>
      </c>
      <c r="O15" s="120" t="s">
        <v>202</v>
      </c>
    </row>
    <row r="16" spans="1:15" s="4" customFormat="1" ht="59.25" customHeight="1">
      <c r="A16" s="138">
        <v>4</v>
      </c>
      <c r="B16" s="100" t="s">
        <v>210</v>
      </c>
      <c r="C16" s="94" t="s">
        <v>211</v>
      </c>
      <c r="D16" s="94" t="s">
        <v>212</v>
      </c>
      <c r="E16" s="92">
        <v>42788</v>
      </c>
      <c r="F16" s="83" t="s">
        <v>24</v>
      </c>
      <c r="G16" s="87" t="s">
        <v>97</v>
      </c>
      <c r="H16" s="95" t="s">
        <v>213</v>
      </c>
      <c r="I16" s="95" t="s">
        <v>214</v>
      </c>
      <c r="J16" s="96">
        <v>4150</v>
      </c>
      <c r="K16" s="85"/>
      <c r="L16" s="96">
        <f t="shared" si="1"/>
        <v>4150</v>
      </c>
      <c r="M16" s="16" t="s">
        <v>138</v>
      </c>
      <c r="N16" s="95" t="s">
        <v>214</v>
      </c>
      <c r="O16" s="118" t="s">
        <v>215</v>
      </c>
    </row>
    <row r="17" spans="1:15" s="4" customFormat="1" ht="59.25" customHeight="1">
      <c r="A17" s="138">
        <v>5</v>
      </c>
      <c r="B17" s="97" t="s">
        <v>223</v>
      </c>
      <c r="C17" s="94" t="s">
        <v>222</v>
      </c>
      <c r="D17" s="94" t="s">
        <v>224</v>
      </c>
      <c r="E17" s="92">
        <v>42979</v>
      </c>
      <c r="F17" s="83" t="s">
        <v>24</v>
      </c>
      <c r="G17" s="87" t="s">
        <v>97</v>
      </c>
      <c r="H17" s="95" t="s">
        <v>179</v>
      </c>
      <c r="I17" s="95" t="s">
        <v>225</v>
      </c>
      <c r="J17" s="96">
        <v>10000</v>
      </c>
      <c r="K17" s="85">
        <v>0</v>
      </c>
      <c r="L17" s="96">
        <f t="shared" si="1"/>
        <v>10000</v>
      </c>
      <c r="M17" s="16" t="s">
        <v>138</v>
      </c>
      <c r="N17" s="95" t="s">
        <v>225</v>
      </c>
      <c r="O17" s="120" t="s">
        <v>226</v>
      </c>
    </row>
    <row r="18" spans="1:15" s="4" customFormat="1" ht="59.25" customHeight="1">
      <c r="A18" s="138">
        <v>6</v>
      </c>
      <c r="B18" s="91" t="s">
        <v>228</v>
      </c>
      <c r="C18" s="94" t="s">
        <v>229</v>
      </c>
      <c r="D18" s="94" t="s">
        <v>230</v>
      </c>
      <c r="E18" s="92">
        <v>42381</v>
      </c>
      <c r="F18" s="83" t="s">
        <v>24</v>
      </c>
      <c r="G18" s="87" t="s">
        <v>97</v>
      </c>
      <c r="H18" s="95"/>
      <c r="I18" s="95"/>
      <c r="J18" s="96">
        <v>5200</v>
      </c>
      <c r="K18" s="85">
        <v>0</v>
      </c>
      <c r="L18" s="96">
        <f t="shared" si="1"/>
        <v>5200</v>
      </c>
      <c r="M18" s="16" t="s">
        <v>138</v>
      </c>
      <c r="N18" s="95"/>
      <c r="O18" s="120" t="s">
        <v>232</v>
      </c>
    </row>
    <row r="19" spans="1:15" s="4" customFormat="1" ht="75" customHeight="1">
      <c r="A19" s="138">
        <v>7</v>
      </c>
      <c r="B19" s="91" t="s">
        <v>238</v>
      </c>
      <c r="C19" s="94" t="s">
        <v>239</v>
      </c>
      <c r="D19" s="94" t="s">
        <v>187</v>
      </c>
      <c r="E19" s="92">
        <v>43448</v>
      </c>
      <c r="F19" s="83" t="s">
        <v>24</v>
      </c>
      <c r="G19" s="87" t="s">
        <v>96</v>
      </c>
      <c r="H19" s="95" t="s">
        <v>206</v>
      </c>
      <c r="I19" s="95" t="s">
        <v>240</v>
      </c>
      <c r="J19" s="96">
        <v>1352725</v>
      </c>
      <c r="K19" s="85">
        <v>0</v>
      </c>
      <c r="L19" s="96">
        <f t="shared" si="1"/>
        <v>1352725</v>
      </c>
      <c r="M19" s="16" t="s">
        <v>138</v>
      </c>
      <c r="N19" s="95" t="s">
        <v>241</v>
      </c>
      <c r="O19" s="119" t="s">
        <v>242</v>
      </c>
    </row>
    <row r="20" spans="1:15" s="4" customFormat="1" ht="55.5" customHeight="1">
      <c r="A20" s="138">
        <v>8</v>
      </c>
      <c r="B20" s="91" t="s">
        <v>245</v>
      </c>
      <c r="C20" s="94" t="s">
        <v>246</v>
      </c>
      <c r="D20" s="94" t="s">
        <v>247</v>
      </c>
      <c r="E20" s="92">
        <v>43677</v>
      </c>
      <c r="F20" s="83" t="s">
        <v>129</v>
      </c>
      <c r="G20" s="87" t="s">
        <v>96</v>
      </c>
      <c r="H20" s="95" t="s">
        <v>178</v>
      </c>
      <c r="I20" s="95" t="s">
        <v>244</v>
      </c>
      <c r="J20" s="96">
        <v>88000</v>
      </c>
      <c r="K20" s="85">
        <v>0</v>
      </c>
      <c r="L20" s="96">
        <f>J20-K20</f>
        <v>88000</v>
      </c>
      <c r="M20" s="16" t="s">
        <v>138</v>
      </c>
      <c r="N20" s="95" t="s">
        <v>244</v>
      </c>
      <c r="O20" s="119" t="s">
        <v>248</v>
      </c>
    </row>
    <row r="21" spans="1:15" s="4" customFormat="1" ht="55.5" customHeight="1">
      <c r="A21" s="138">
        <v>9</v>
      </c>
      <c r="B21" s="91" t="s">
        <v>249</v>
      </c>
      <c r="C21" s="94" t="s">
        <v>250</v>
      </c>
      <c r="D21" s="94" t="s">
        <v>251</v>
      </c>
      <c r="E21" s="92" t="s">
        <v>252</v>
      </c>
      <c r="F21" s="83" t="s">
        <v>129</v>
      </c>
      <c r="G21" s="87" t="s">
        <v>97</v>
      </c>
      <c r="H21" s="95" t="s">
        <v>165</v>
      </c>
      <c r="I21" s="95" t="s">
        <v>244</v>
      </c>
      <c r="J21" s="96">
        <v>20000</v>
      </c>
      <c r="K21" s="85">
        <v>0</v>
      </c>
      <c r="L21" s="96">
        <f>J21-K21</f>
        <v>20000</v>
      </c>
      <c r="M21" s="16" t="s">
        <v>138</v>
      </c>
      <c r="N21" s="95" t="s">
        <v>244</v>
      </c>
      <c r="O21" s="119" t="s">
        <v>227</v>
      </c>
    </row>
    <row r="22" spans="1:15" s="4" customFormat="1" ht="55.5" customHeight="1">
      <c r="A22" s="138">
        <v>10</v>
      </c>
      <c r="B22" s="91" t="s">
        <v>249</v>
      </c>
      <c r="C22" s="94" t="s">
        <v>250</v>
      </c>
      <c r="D22" s="94" t="s">
        <v>253</v>
      </c>
      <c r="E22" s="92" t="s">
        <v>252</v>
      </c>
      <c r="F22" s="83" t="s">
        <v>24</v>
      </c>
      <c r="G22" s="87" t="s">
        <v>97</v>
      </c>
      <c r="H22" s="95" t="s">
        <v>183</v>
      </c>
      <c r="I22" s="95" t="s">
        <v>254</v>
      </c>
      <c r="J22" s="96">
        <v>21200</v>
      </c>
      <c r="K22" s="85">
        <v>0</v>
      </c>
      <c r="L22" s="96">
        <f>J22-K22</f>
        <v>21200</v>
      </c>
      <c r="M22" s="16" t="s">
        <v>138</v>
      </c>
      <c r="N22" s="95" t="s">
        <v>255</v>
      </c>
      <c r="O22" s="119" t="s">
        <v>256</v>
      </c>
    </row>
    <row r="23" spans="1:15" s="4" customFormat="1" ht="55.5" customHeight="1">
      <c r="A23" s="138">
        <v>11</v>
      </c>
      <c r="B23" s="91" t="s">
        <v>257</v>
      </c>
      <c r="C23" s="94" t="s">
        <v>258</v>
      </c>
      <c r="D23" s="94" t="s">
        <v>259</v>
      </c>
      <c r="E23" s="92">
        <v>43677</v>
      </c>
      <c r="F23" s="83" t="s">
        <v>24</v>
      </c>
      <c r="G23" s="87" t="s">
        <v>97</v>
      </c>
      <c r="H23" s="95" t="s">
        <v>170</v>
      </c>
      <c r="I23" s="95" t="s">
        <v>244</v>
      </c>
      <c r="J23" s="96">
        <v>3200</v>
      </c>
      <c r="K23" s="85">
        <v>0</v>
      </c>
      <c r="L23" s="96">
        <f>J23-K23</f>
        <v>3200</v>
      </c>
      <c r="M23" s="16" t="s">
        <v>138</v>
      </c>
      <c r="N23" s="95" t="s">
        <v>244</v>
      </c>
      <c r="O23" s="119" t="s">
        <v>260</v>
      </c>
    </row>
    <row r="24" spans="1:15" s="4" customFormat="1" ht="55.5" customHeight="1">
      <c r="A24" s="138">
        <v>12</v>
      </c>
      <c r="B24" s="109" t="s">
        <v>263</v>
      </c>
      <c r="C24" s="94" t="s">
        <v>264</v>
      </c>
      <c r="D24" s="94" t="s">
        <v>261</v>
      </c>
      <c r="E24" s="92">
        <v>43453</v>
      </c>
      <c r="F24" s="83" t="s">
        <v>24</v>
      </c>
      <c r="G24" s="87" t="s">
        <v>96</v>
      </c>
      <c r="H24" s="95"/>
      <c r="I24" s="95"/>
      <c r="J24" s="96">
        <v>52581</v>
      </c>
      <c r="K24" s="85">
        <v>0</v>
      </c>
      <c r="L24" s="96">
        <f>J24-K24</f>
        <v>52581</v>
      </c>
      <c r="M24" s="16" t="s">
        <v>138</v>
      </c>
      <c r="N24" s="95" t="s">
        <v>241</v>
      </c>
      <c r="O24" s="119" t="s">
        <v>262</v>
      </c>
    </row>
    <row r="25" spans="1:15" s="4" customFormat="1" ht="55.5" customHeight="1">
      <c r="A25" s="138">
        <v>13</v>
      </c>
      <c r="B25" s="110" t="s">
        <v>266</v>
      </c>
      <c r="C25" s="94" t="s">
        <v>267</v>
      </c>
      <c r="D25" s="94" t="s">
        <v>268</v>
      </c>
      <c r="E25" s="92">
        <v>43762</v>
      </c>
      <c r="F25" s="83" t="s">
        <v>129</v>
      </c>
      <c r="G25" s="87" t="s">
        <v>96</v>
      </c>
      <c r="H25" s="95"/>
      <c r="I25" s="95"/>
      <c r="J25" s="96">
        <v>55000</v>
      </c>
      <c r="K25" s="85">
        <v>0</v>
      </c>
      <c r="L25" s="96">
        <f aca="true" t="shared" si="2" ref="L25:L38">J25-K25</f>
        <v>55000</v>
      </c>
      <c r="M25" s="16" t="s">
        <v>138</v>
      </c>
      <c r="N25" s="95"/>
      <c r="O25" s="115" t="s">
        <v>265</v>
      </c>
    </row>
    <row r="26" spans="1:15" s="4" customFormat="1" ht="55.5" customHeight="1">
      <c r="A26" s="138">
        <v>14</v>
      </c>
      <c r="B26" s="91" t="s">
        <v>271</v>
      </c>
      <c r="C26" s="94" t="s">
        <v>272</v>
      </c>
      <c r="D26" s="94" t="s">
        <v>187</v>
      </c>
      <c r="E26" s="92">
        <v>43033</v>
      </c>
      <c r="F26" s="83" t="s">
        <v>129</v>
      </c>
      <c r="G26" s="87" t="s">
        <v>97</v>
      </c>
      <c r="H26" s="95" t="s">
        <v>199</v>
      </c>
      <c r="I26" s="95" t="s">
        <v>273</v>
      </c>
      <c r="J26" s="96">
        <v>54161</v>
      </c>
      <c r="K26" s="85">
        <v>0</v>
      </c>
      <c r="L26" s="96">
        <f t="shared" si="2"/>
        <v>54161</v>
      </c>
      <c r="M26" s="16" t="s">
        <v>138</v>
      </c>
      <c r="N26" s="95" t="s">
        <v>273</v>
      </c>
      <c r="O26" s="115" t="s">
        <v>274</v>
      </c>
    </row>
    <row r="27" spans="1:15" s="4" customFormat="1" ht="55.5" customHeight="1">
      <c r="A27" s="138">
        <v>15</v>
      </c>
      <c r="B27" s="91" t="s">
        <v>277</v>
      </c>
      <c r="C27" s="94" t="s">
        <v>276</v>
      </c>
      <c r="D27" s="94" t="s">
        <v>278</v>
      </c>
      <c r="E27" s="92">
        <v>44053</v>
      </c>
      <c r="F27" s="83" t="s">
        <v>129</v>
      </c>
      <c r="G27" s="87" t="s">
        <v>96</v>
      </c>
      <c r="H27" s="95" t="s">
        <v>158</v>
      </c>
      <c r="I27" s="95" t="s">
        <v>275</v>
      </c>
      <c r="J27" s="96">
        <v>111000</v>
      </c>
      <c r="K27" s="85">
        <v>0</v>
      </c>
      <c r="L27" s="96">
        <f t="shared" si="2"/>
        <v>111000</v>
      </c>
      <c r="M27" s="16" t="s">
        <v>138</v>
      </c>
      <c r="N27" s="95" t="s">
        <v>279</v>
      </c>
      <c r="O27" s="115" t="s">
        <v>280</v>
      </c>
    </row>
    <row r="28" spans="1:15" s="4" customFormat="1" ht="55.5" customHeight="1">
      <c r="A28" s="138">
        <v>16</v>
      </c>
      <c r="B28" s="91" t="s">
        <v>277</v>
      </c>
      <c r="C28" s="94" t="s">
        <v>276</v>
      </c>
      <c r="D28" s="94" t="s">
        <v>281</v>
      </c>
      <c r="E28" s="92">
        <v>43667</v>
      </c>
      <c r="F28" s="83" t="s">
        <v>129</v>
      </c>
      <c r="G28" s="87" t="s">
        <v>96</v>
      </c>
      <c r="H28" s="95" t="s">
        <v>162</v>
      </c>
      <c r="I28" s="95" t="s">
        <v>282</v>
      </c>
      <c r="J28" s="96">
        <v>38001</v>
      </c>
      <c r="K28" s="85">
        <v>0</v>
      </c>
      <c r="L28" s="96">
        <f t="shared" si="2"/>
        <v>38001</v>
      </c>
      <c r="M28" s="16" t="s">
        <v>138</v>
      </c>
      <c r="N28" s="95" t="s">
        <v>279</v>
      </c>
      <c r="O28" s="115" t="s">
        <v>280</v>
      </c>
    </row>
    <row r="29" spans="1:15" s="4" customFormat="1" ht="55.5" customHeight="1">
      <c r="A29" s="138">
        <v>17</v>
      </c>
      <c r="B29" s="91" t="s">
        <v>283</v>
      </c>
      <c r="C29" s="94" t="s">
        <v>284</v>
      </c>
      <c r="D29" s="94" t="s">
        <v>169</v>
      </c>
      <c r="E29" s="92">
        <v>41226</v>
      </c>
      <c r="F29" s="83" t="s">
        <v>129</v>
      </c>
      <c r="G29" s="87" t="s">
        <v>96</v>
      </c>
      <c r="H29" s="95" t="s">
        <v>218</v>
      </c>
      <c r="I29" s="95" t="s">
        <v>275</v>
      </c>
      <c r="J29" s="96">
        <v>16844</v>
      </c>
      <c r="K29" s="85">
        <v>0</v>
      </c>
      <c r="L29" s="96">
        <f t="shared" si="2"/>
        <v>16844</v>
      </c>
      <c r="M29" s="16" t="s">
        <v>138</v>
      </c>
      <c r="N29" s="95" t="s">
        <v>285</v>
      </c>
      <c r="O29" s="114" t="s">
        <v>286</v>
      </c>
    </row>
    <row r="30" spans="1:15" s="4" customFormat="1" ht="55.5" customHeight="1">
      <c r="A30" s="138">
        <v>18</v>
      </c>
      <c r="B30" s="91" t="s">
        <v>289</v>
      </c>
      <c r="C30" s="94" t="s">
        <v>290</v>
      </c>
      <c r="D30" s="94" t="s">
        <v>176</v>
      </c>
      <c r="E30" s="92">
        <v>43802</v>
      </c>
      <c r="F30" s="83" t="s">
        <v>129</v>
      </c>
      <c r="G30" s="87" t="s">
        <v>96</v>
      </c>
      <c r="H30" s="95" t="s">
        <v>167</v>
      </c>
      <c r="I30" s="95" t="s">
        <v>288</v>
      </c>
      <c r="J30" s="96">
        <v>1500000</v>
      </c>
      <c r="K30" s="85">
        <v>0</v>
      </c>
      <c r="L30" s="96">
        <f t="shared" si="2"/>
        <v>1500000</v>
      </c>
      <c r="M30" s="16" t="s">
        <v>138</v>
      </c>
      <c r="N30" s="95" t="s">
        <v>287</v>
      </c>
      <c r="O30" s="114" t="s">
        <v>291</v>
      </c>
    </row>
    <row r="31" spans="1:15" s="4" customFormat="1" ht="66" customHeight="1">
      <c r="A31" s="138">
        <v>19</v>
      </c>
      <c r="B31" s="91" t="s">
        <v>294</v>
      </c>
      <c r="C31" s="94" t="s">
        <v>295</v>
      </c>
      <c r="D31" s="94" t="s">
        <v>296</v>
      </c>
      <c r="E31" s="92">
        <v>43867</v>
      </c>
      <c r="F31" s="83" t="s">
        <v>24</v>
      </c>
      <c r="G31" s="87" t="s">
        <v>97</v>
      </c>
      <c r="H31" s="95" t="s">
        <v>183</v>
      </c>
      <c r="I31" s="95" t="s">
        <v>292</v>
      </c>
      <c r="J31" s="96">
        <f>20200</f>
        <v>20200</v>
      </c>
      <c r="K31" s="85">
        <v>0</v>
      </c>
      <c r="L31" s="96">
        <f t="shared" si="2"/>
        <v>20200</v>
      </c>
      <c r="M31" s="16" t="s">
        <v>138</v>
      </c>
      <c r="N31" s="95" t="s">
        <v>293</v>
      </c>
      <c r="O31" s="117" t="s">
        <v>486</v>
      </c>
    </row>
    <row r="32" spans="1:15" s="4" customFormat="1" ht="84" customHeight="1">
      <c r="A32" s="138">
        <v>20</v>
      </c>
      <c r="B32" s="91" t="s">
        <v>297</v>
      </c>
      <c r="C32" s="94" t="s">
        <v>298</v>
      </c>
      <c r="D32" s="94" t="s">
        <v>299</v>
      </c>
      <c r="E32" s="92">
        <v>43818</v>
      </c>
      <c r="F32" s="83" t="s">
        <v>24</v>
      </c>
      <c r="G32" s="87" t="s">
        <v>97</v>
      </c>
      <c r="H32" s="95" t="s">
        <v>179</v>
      </c>
      <c r="I32" s="95" t="s">
        <v>292</v>
      </c>
      <c r="J32" s="96">
        <v>17000</v>
      </c>
      <c r="K32" s="85"/>
      <c r="L32" s="96">
        <f t="shared" si="2"/>
        <v>17000</v>
      </c>
      <c r="M32" s="16" t="s">
        <v>138</v>
      </c>
      <c r="N32" s="95" t="s">
        <v>293</v>
      </c>
      <c r="O32" s="114" t="s">
        <v>300</v>
      </c>
    </row>
    <row r="33" spans="1:15" s="4" customFormat="1" ht="41.25" customHeight="1">
      <c r="A33" s="138">
        <v>21</v>
      </c>
      <c r="B33" s="91" t="s">
        <v>301</v>
      </c>
      <c r="C33" s="94" t="s">
        <v>302</v>
      </c>
      <c r="D33" s="94" t="s">
        <v>303</v>
      </c>
      <c r="E33" s="92">
        <v>43769</v>
      </c>
      <c r="F33" s="83" t="s">
        <v>129</v>
      </c>
      <c r="G33" s="87" t="s">
        <v>97</v>
      </c>
      <c r="H33" s="95" t="s">
        <v>180</v>
      </c>
      <c r="I33" s="95" t="s">
        <v>292</v>
      </c>
      <c r="J33" s="96">
        <f>19139+897806</f>
        <v>916945</v>
      </c>
      <c r="K33" s="85">
        <v>0</v>
      </c>
      <c r="L33" s="96">
        <f t="shared" si="2"/>
        <v>916945</v>
      </c>
      <c r="M33" s="16" t="s">
        <v>138</v>
      </c>
      <c r="N33" s="95" t="s">
        <v>293</v>
      </c>
      <c r="O33" s="123" t="s">
        <v>572</v>
      </c>
    </row>
    <row r="34" spans="1:15" s="4" customFormat="1" ht="77.25" customHeight="1">
      <c r="A34" s="138">
        <v>22</v>
      </c>
      <c r="B34" s="113" t="s">
        <v>306</v>
      </c>
      <c r="C34" s="94" t="s">
        <v>307</v>
      </c>
      <c r="D34" s="94" t="s">
        <v>308</v>
      </c>
      <c r="E34" s="92">
        <v>43759</v>
      </c>
      <c r="F34" s="83" t="s">
        <v>24</v>
      </c>
      <c r="G34" s="87" t="s">
        <v>96</v>
      </c>
      <c r="H34" s="95" t="s">
        <v>186</v>
      </c>
      <c r="I34" s="95" t="s">
        <v>309</v>
      </c>
      <c r="J34" s="96">
        <v>22000</v>
      </c>
      <c r="K34" s="85">
        <v>0</v>
      </c>
      <c r="L34" s="96">
        <f t="shared" si="2"/>
        <v>22000</v>
      </c>
      <c r="M34" s="16" t="s">
        <v>138</v>
      </c>
      <c r="N34" s="95" t="s">
        <v>316</v>
      </c>
      <c r="O34" s="116" t="s">
        <v>311</v>
      </c>
    </row>
    <row r="35" spans="1:15" s="4" customFormat="1" ht="77.25" customHeight="1">
      <c r="A35" s="138">
        <v>23</v>
      </c>
      <c r="B35" s="113" t="s">
        <v>312</v>
      </c>
      <c r="C35" s="94" t="s">
        <v>313</v>
      </c>
      <c r="D35" s="94" t="s">
        <v>205</v>
      </c>
      <c r="E35" s="92">
        <v>43873</v>
      </c>
      <c r="F35" s="83" t="s">
        <v>24</v>
      </c>
      <c r="G35" s="87" t="s">
        <v>96</v>
      </c>
      <c r="H35" s="95" t="s">
        <v>154</v>
      </c>
      <c r="I35" s="95" t="s">
        <v>309</v>
      </c>
      <c r="J35" s="96">
        <v>1581</v>
      </c>
      <c r="K35" s="85">
        <v>0</v>
      </c>
      <c r="L35" s="96">
        <f t="shared" si="2"/>
        <v>1581</v>
      </c>
      <c r="M35" s="16" t="s">
        <v>138</v>
      </c>
      <c r="N35" s="95" t="s">
        <v>310</v>
      </c>
      <c r="O35" s="116" t="s">
        <v>226</v>
      </c>
    </row>
    <row r="36" spans="1:15" s="4" customFormat="1" ht="77.25" customHeight="1">
      <c r="A36" s="138">
        <v>24</v>
      </c>
      <c r="B36" s="113" t="s">
        <v>312</v>
      </c>
      <c r="C36" s="94" t="s">
        <v>313</v>
      </c>
      <c r="D36" s="94" t="s">
        <v>314</v>
      </c>
      <c r="E36" s="92">
        <v>43970</v>
      </c>
      <c r="F36" s="83" t="s">
        <v>129</v>
      </c>
      <c r="G36" s="87" t="s">
        <v>96</v>
      </c>
      <c r="H36" s="95" t="s">
        <v>315</v>
      </c>
      <c r="I36" s="95" t="s">
        <v>309</v>
      </c>
      <c r="J36" s="96">
        <v>63260</v>
      </c>
      <c r="K36" s="85">
        <v>0</v>
      </c>
      <c r="L36" s="96">
        <f t="shared" si="2"/>
        <v>63260</v>
      </c>
      <c r="M36" s="16" t="s">
        <v>138</v>
      </c>
      <c r="N36" s="95" t="s">
        <v>310</v>
      </c>
      <c r="O36" s="116" t="s">
        <v>226</v>
      </c>
    </row>
    <row r="37" spans="1:15" s="4" customFormat="1" ht="77.25" customHeight="1">
      <c r="A37" s="138">
        <v>25</v>
      </c>
      <c r="B37" s="113" t="s">
        <v>317</v>
      </c>
      <c r="C37" s="94" t="s">
        <v>318</v>
      </c>
      <c r="D37" s="94" t="s">
        <v>319</v>
      </c>
      <c r="E37" s="92">
        <v>43833</v>
      </c>
      <c r="F37" s="83" t="s">
        <v>129</v>
      </c>
      <c r="G37" s="87" t="s">
        <v>96</v>
      </c>
      <c r="H37" s="95" t="s">
        <v>320</v>
      </c>
      <c r="I37" s="95" t="s">
        <v>309</v>
      </c>
      <c r="J37" s="96">
        <f>120260+500000</f>
        <v>620260</v>
      </c>
      <c r="K37" s="85">
        <v>0</v>
      </c>
      <c r="L37" s="96">
        <f t="shared" si="2"/>
        <v>620260</v>
      </c>
      <c r="M37" s="16" t="s">
        <v>138</v>
      </c>
      <c r="N37" s="95" t="s">
        <v>316</v>
      </c>
      <c r="O37" s="122" t="s">
        <v>673</v>
      </c>
    </row>
    <row r="38" spans="1:15" s="4" customFormat="1" ht="77.25" customHeight="1">
      <c r="A38" s="138">
        <v>26</v>
      </c>
      <c r="B38" s="113" t="s">
        <v>317</v>
      </c>
      <c r="C38" s="94" t="s">
        <v>318</v>
      </c>
      <c r="D38" s="94" t="s">
        <v>217</v>
      </c>
      <c r="E38" s="92">
        <v>43804</v>
      </c>
      <c r="F38" s="83" t="s">
        <v>24</v>
      </c>
      <c r="G38" s="87" t="s">
        <v>96</v>
      </c>
      <c r="H38" s="95" t="s">
        <v>169</v>
      </c>
      <c r="I38" s="95" t="s">
        <v>309</v>
      </c>
      <c r="J38" s="96">
        <v>3006</v>
      </c>
      <c r="K38" s="85">
        <v>0</v>
      </c>
      <c r="L38" s="96">
        <f t="shared" si="2"/>
        <v>3006</v>
      </c>
      <c r="M38" s="16" t="s">
        <v>138</v>
      </c>
      <c r="N38" s="95" t="s">
        <v>316</v>
      </c>
      <c r="O38" s="117" t="s">
        <v>321</v>
      </c>
    </row>
    <row r="39" spans="1:15" s="4" customFormat="1" ht="77.25" customHeight="1">
      <c r="A39" s="138">
        <v>27</v>
      </c>
      <c r="B39" s="113" t="s">
        <v>322</v>
      </c>
      <c r="C39" s="94" t="s">
        <v>323</v>
      </c>
      <c r="D39" s="94" t="s">
        <v>208</v>
      </c>
      <c r="E39" s="92">
        <v>43928</v>
      </c>
      <c r="F39" s="83" t="s">
        <v>24</v>
      </c>
      <c r="G39" s="87" t="s">
        <v>97</v>
      </c>
      <c r="H39" s="95" t="s">
        <v>324</v>
      </c>
      <c r="I39" s="95" t="s">
        <v>309</v>
      </c>
      <c r="J39" s="96">
        <v>700</v>
      </c>
      <c r="K39" s="85">
        <v>0</v>
      </c>
      <c r="L39" s="96">
        <f aca="true" t="shared" si="3" ref="L39:L45">J39-K39</f>
        <v>700</v>
      </c>
      <c r="M39" s="16" t="s">
        <v>138</v>
      </c>
      <c r="N39" s="95" t="s">
        <v>316</v>
      </c>
      <c r="O39" s="116" t="s">
        <v>325</v>
      </c>
    </row>
    <row r="40" spans="1:15" s="4" customFormat="1" ht="77.25" customHeight="1">
      <c r="A40" s="138">
        <v>28</v>
      </c>
      <c r="B40" s="113" t="s">
        <v>219</v>
      </c>
      <c r="C40" s="94" t="s">
        <v>326</v>
      </c>
      <c r="D40" s="94" t="s">
        <v>327</v>
      </c>
      <c r="E40" s="92">
        <v>43790</v>
      </c>
      <c r="F40" s="83" t="s">
        <v>129</v>
      </c>
      <c r="G40" s="87" t="s">
        <v>96</v>
      </c>
      <c r="H40" s="95" t="s">
        <v>157</v>
      </c>
      <c r="I40" s="95" t="s">
        <v>328</v>
      </c>
      <c r="J40" s="96">
        <v>589427</v>
      </c>
      <c r="K40" s="85">
        <v>0</v>
      </c>
      <c r="L40" s="96">
        <f t="shared" si="3"/>
        <v>589427</v>
      </c>
      <c r="M40" s="16" t="s">
        <v>138</v>
      </c>
      <c r="N40" s="95" t="s">
        <v>329</v>
      </c>
      <c r="O40" s="116" t="s">
        <v>330</v>
      </c>
    </row>
    <row r="41" spans="1:15" s="4" customFormat="1" ht="77.25" customHeight="1">
      <c r="A41" s="138">
        <v>29</v>
      </c>
      <c r="B41" s="91" t="s">
        <v>331</v>
      </c>
      <c r="C41" s="94" t="s">
        <v>243</v>
      </c>
      <c r="D41" s="94" t="s">
        <v>332</v>
      </c>
      <c r="E41" s="92">
        <v>44263</v>
      </c>
      <c r="F41" s="83" t="s">
        <v>24</v>
      </c>
      <c r="G41" s="87" t="s">
        <v>97</v>
      </c>
      <c r="H41" s="95" t="s">
        <v>155</v>
      </c>
      <c r="I41" s="95" t="s">
        <v>333</v>
      </c>
      <c r="J41" s="96">
        <v>114077</v>
      </c>
      <c r="K41" s="85">
        <v>29474</v>
      </c>
      <c r="L41" s="96">
        <f t="shared" si="3"/>
        <v>84603</v>
      </c>
      <c r="M41" s="16" t="s">
        <v>138</v>
      </c>
      <c r="N41" s="95" t="s">
        <v>334</v>
      </c>
      <c r="O41" s="116" t="s">
        <v>335</v>
      </c>
    </row>
    <row r="42" spans="1:15" s="4" customFormat="1" ht="46.5" customHeight="1">
      <c r="A42" s="138">
        <v>30</v>
      </c>
      <c r="B42" s="91" t="s">
        <v>337</v>
      </c>
      <c r="C42" s="94" t="s">
        <v>336</v>
      </c>
      <c r="D42" s="94" t="s">
        <v>305</v>
      </c>
      <c r="E42" s="92">
        <v>44126</v>
      </c>
      <c r="F42" s="83" t="s">
        <v>24</v>
      </c>
      <c r="G42" s="87" t="s">
        <v>96</v>
      </c>
      <c r="H42" s="95" t="s">
        <v>188</v>
      </c>
      <c r="I42" s="95" t="s">
        <v>344</v>
      </c>
      <c r="J42" s="96">
        <v>3114</v>
      </c>
      <c r="K42" s="85">
        <v>0</v>
      </c>
      <c r="L42" s="96">
        <f t="shared" si="3"/>
        <v>3114</v>
      </c>
      <c r="M42" s="16" t="s">
        <v>138</v>
      </c>
      <c r="N42" s="95" t="s">
        <v>338</v>
      </c>
      <c r="O42" s="116" t="s">
        <v>226</v>
      </c>
    </row>
    <row r="43" spans="1:15" s="4" customFormat="1" ht="48.75" customHeight="1">
      <c r="A43" s="138">
        <v>31</v>
      </c>
      <c r="B43" s="97" t="s">
        <v>339</v>
      </c>
      <c r="C43" s="94" t="s">
        <v>340</v>
      </c>
      <c r="D43" s="94" t="s">
        <v>341</v>
      </c>
      <c r="E43" s="92">
        <v>44258</v>
      </c>
      <c r="F43" s="83" t="s">
        <v>129</v>
      </c>
      <c r="G43" s="87" t="s">
        <v>96</v>
      </c>
      <c r="H43" s="95" t="s">
        <v>342</v>
      </c>
      <c r="I43" s="95" t="s">
        <v>344</v>
      </c>
      <c r="J43" s="96">
        <f>40702+500000</f>
        <v>540702</v>
      </c>
      <c r="K43" s="85">
        <v>0</v>
      </c>
      <c r="L43" s="96">
        <f t="shared" si="3"/>
        <v>540702</v>
      </c>
      <c r="M43" s="16" t="s">
        <v>138</v>
      </c>
      <c r="N43" s="95" t="s">
        <v>338</v>
      </c>
      <c r="O43" s="122" t="s">
        <v>672</v>
      </c>
    </row>
    <row r="44" spans="1:15" s="4" customFormat="1" ht="43.5" customHeight="1">
      <c r="A44" s="138">
        <v>32</v>
      </c>
      <c r="B44" s="91" t="s">
        <v>343</v>
      </c>
      <c r="C44" s="94" t="s">
        <v>336</v>
      </c>
      <c r="D44" s="94" t="s">
        <v>269</v>
      </c>
      <c r="E44" s="92">
        <v>44132</v>
      </c>
      <c r="F44" s="83" t="s">
        <v>129</v>
      </c>
      <c r="G44" s="87" t="s">
        <v>96</v>
      </c>
      <c r="H44" s="95" t="s">
        <v>237</v>
      </c>
      <c r="I44" s="95" t="s">
        <v>344</v>
      </c>
      <c r="J44" s="96">
        <v>124588</v>
      </c>
      <c r="K44" s="96">
        <v>0</v>
      </c>
      <c r="L44" s="96">
        <f t="shared" si="3"/>
        <v>124588</v>
      </c>
      <c r="M44" s="16" t="s">
        <v>138</v>
      </c>
      <c r="N44" s="95" t="s">
        <v>338</v>
      </c>
      <c r="O44" s="116" t="s">
        <v>226</v>
      </c>
    </row>
    <row r="45" spans="1:15" s="4" customFormat="1" ht="61.5" customHeight="1">
      <c r="A45" s="138">
        <v>33</v>
      </c>
      <c r="B45" s="91" t="s">
        <v>345</v>
      </c>
      <c r="C45" s="94" t="s">
        <v>346</v>
      </c>
      <c r="D45" s="94" t="s">
        <v>347</v>
      </c>
      <c r="E45" s="92">
        <v>44214</v>
      </c>
      <c r="F45" s="83" t="s">
        <v>129</v>
      </c>
      <c r="G45" s="87" t="s">
        <v>97</v>
      </c>
      <c r="H45" s="95" t="s">
        <v>162</v>
      </c>
      <c r="I45" s="95" t="s">
        <v>344</v>
      </c>
      <c r="J45" s="96">
        <f>51400+300000</f>
        <v>351400</v>
      </c>
      <c r="K45" s="85">
        <v>0</v>
      </c>
      <c r="L45" s="96">
        <f t="shared" si="3"/>
        <v>351400</v>
      </c>
      <c r="M45" s="16" t="s">
        <v>138</v>
      </c>
      <c r="N45" s="95" t="s">
        <v>344</v>
      </c>
      <c r="O45" s="122" t="s">
        <v>674</v>
      </c>
    </row>
    <row r="46" spans="1:15" s="4" customFormat="1" ht="61.5" customHeight="1">
      <c r="A46" s="138">
        <v>34</v>
      </c>
      <c r="B46" s="113" t="s">
        <v>348</v>
      </c>
      <c r="C46" s="94" t="s">
        <v>349</v>
      </c>
      <c r="D46" s="94" t="s">
        <v>350</v>
      </c>
      <c r="E46" s="92">
        <v>44147</v>
      </c>
      <c r="F46" s="83" t="s">
        <v>24</v>
      </c>
      <c r="G46" s="87" t="s">
        <v>97</v>
      </c>
      <c r="H46" s="95" t="s">
        <v>197</v>
      </c>
      <c r="I46" s="95" t="s">
        <v>351</v>
      </c>
      <c r="J46" s="96">
        <v>4047</v>
      </c>
      <c r="K46" s="85">
        <v>0</v>
      </c>
      <c r="L46" s="96">
        <f aca="true" t="shared" si="4" ref="L46:L51">J46-K46</f>
        <v>4047</v>
      </c>
      <c r="M46" s="16" t="s">
        <v>138</v>
      </c>
      <c r="N46" s="95" t="s">
        <v>352</v>
      </c>
      <c r="O46" s="116" t="s">
        <v>353</v>
      </c>
    </row>
    <row r="47" spans="1:15" s="4" customFormat="1" ht="61.5" customHeight="1">
      <c r="A47" s="138">
        <v>35</v>
      </c>
      <c r="B47" s="113" t="s">
        <v>354</v>
      </c>
      <c r="C47" s="94" t="s">
        <v>318</v>
      </c>
      <c r="D47" s="94" t="s">
        <v>181</v>
      </c>
      <c r="E47" s="92">
        <v>43955</v>
      </c>
      <c r="F47" s="83" t="s">
        <v>24</v>
      </c>
      <c r="G47" s="87" t="s">
        <v>97</v>
      </c>
      <c r="H47" s="95" t="s">
        <v>123</v>
      </c>
      <c r="I47" s="95" t="s">
        <v>355</v>
      </c>
      <c r="J47" s="96">
        <v>3771</v>
      </c>
      <c r="K47" s="85">
        <v>0</v>
      </c>
      <c r="L47" s="96">
        <f t="shared" si="4"/>
        <v>3771</v>
      </c>
      <c r="M47" s="16" t="s">
        <v>138</v>
      </c>
      <c r="N47" s="95" t="s">
        <v>356</v>
      </c>
      <c r="O47" s="116" t="s">
        <v>357</v>
      </c>
    </row>
    <row r="48" spans="1:15" s="4" customFormat="1" ht="61.5" customHeight="1">
      <c r="A48" s="138">
        <v>36</v>
      </c>
      <c r="B48" s="113" t="s">
        <v>359</v>
      </c>
      <c r="C48" s="94" t="s">
        <v>358</v>
      </c>
      <c r="D48" s="94" t="s">
        <v>360</v>
      </c>
      <c r="E48" s="92">
        <v>44301</v>
      </c>
      <c r="F48" s="83" t="s">
        <v>129</v>
      </c>
      <c r="G48" s="87" t="s">
        <v>97</v>
      </c>
      <c r="H48" s="95" t="s">
        <v>189</v>
      </c>
      <c r="I48" s="95" t="s">
        <v>361</v>
      </c>
      <c r="J48" s="96">
        <f>14570+400000</f>
        <v>414570</v>
      </c>
      <c r="K48" s="85">
        <v>0</v>
      </c>
      <c r="L48" s="96">
        <f t="shared" si="4"/>
        <v>414570</v>
      </c>
      <c r="M48" s="16" t="s">
        <v>138</v>
      </c>
      <c r="N48" s="95" t="s">
        <v>344</v>
      </c>
      <c r="O48" s="122" t="s">
        <v>675</v>
      </c>
    </row>
    <row r="49" spans="1:15" s="4" customFormat="1" ht="61.5" customHeight="1">
      <c r="A49" s="138">
        <v>37</v>
      </c>
      <c r="B49" s="91" t="s">
        <v>362</v>
      </c>
      <c r="C49" s="94" t="s">
        <v>282</v>
      </c>
      <c r="D49" s="94" t="s">
        <v>363</v>
      </c>
      <c r="E49" s="92">
        <v>44263</v>
      </c>
      <c r="F49" s="83" t="s">
        <v>129</v>
      </c>
      <c r="G49" s="87" t="s">
        <v>97</v>
      </c>
      <c r="H49" s="95" t="s">
        <v>194</v>
      </c>
      <c r="I49" s="95" t="s">
        <v>367</v>
      </c>
      <c r="J49" s="96">
        <f>23532+2804900</f>
        <v>2828432</v>
      </c>
      <c r="K49" s="85">
        <v>0</v>
      </c>
      <c r="L49" s="96">
        <f t="shared" si="4"/>
        <v>2828432</v>
      </c>
      <c r="M49" s="16" t="s">
        <v>138</v>
      </c>
      <c r="N49" s="95" t="s">
        <v>368</v>
      </c>
      <c r="O49" s="122" t="s">
        <v>676</v>
      </c>
    </row>
    <row r="50" spans="1:15" s="4" customFormat="1" ht="61.5" customHeight="1">
      <c r="A50" s="138">
        <v>38</v>
      </c>
      <c r="B50" s="113" t="s">
        <v>364</v>
      </c>
      <c r="C50" s="94" t="s">
        <v>365</v>
      </c>
      <c r="D50" s="94" t="s">
        <v>366</v>
      </c>
      <c r="E50" s="92">
        <v>43754</v>
      </c>
      <c r="F50" s="83" t="s">
        <v>129</v>
      </c>
      <c r="G50" s="87" t="s">
        <v>99</v>
      </c>
      <c r="H50" s="95" t="s">
        <v>174</v>
      </c>
      <c r="I50" s="95" t="s">
        <v>367</v>
      </c>
      <c r="J50" s="96">
        <f>13200</f>
        <v>13200</v>
      </c>
      <c r="K50" s="85">
        <v>0</v>
      </c>
      <c r="L50" s="96">
        <f t="shared" si="4"/>
        <v>13200</v>
      </c>
      <c r="M50" s="16" t="s">
        <v>138</v>
      </c>
      <c r="N50" s="95" t="s">
        <v>369</v>
      </c>
      <c r="O50" s="116" t="s">
        <v>694</v>
      </c>
    </row>
    <row r="51" spans="1:15" s="4" customFormat="1" ht="61.5" customHeight="1">
      <c r="A51" s="138">
        <v>39</v>
      </c>
      <c r="B51" s="113" t="s">
        <v>370</v>
      </c>
      <c r="C51" s="94" t="s">
        <v>371</v>
      </c>
      <c r="D51" s="94" t="s">
        <v>372</v>
      </c>
      <c r="E51" s="92">
        <v>44309</v>
      </c>
      <c r="F51" s="83" t="s">
        <v>129</v>
      </c>
      <c r="G51" s="87" t="s">
        <v>96</v>
      </c>
      <c r="H51" s="95" t="s">
        <v>159</v>
      </c>
      <c r="I51" s="95" t="s">
        <v>373</v>
      </c>
      <c r="J51" s="96">
        <v>2000000</v>
      </c>
      <c r="K51" s="85">
        <v>0</v>
      </c>
      <c r="L51" s="96">
        <f t="shared" si="4"/>
        <v>2000000</v>
      </c>
      <c r="M51" s="16" t="s">
        <v>138</v>
      </c>
      <c r="N51" s="95" t="s">
        <v>374</v>
      </c>
      <c r="O51" s="116" t="s">
        <v>375</v>
      </c>
    </row>
    <row r="52" spans="1:15" s="4" customFormat="1" ht="61.5" customHeight="1">
      <c r="A52" s="138">
        <v>40</v>
      </c>
      <c r="B52" s="113" t="s">
        <v>391</v>
      </c>
      <c r="C52" s="94" t="s">
        <v>392</v>
      </c>
      <c r="D52" s="94" t="s">
        <v>304</v>
      </c>
      <c r="E52" s="92">
        <v>44186</v>
      </c>
      <c r="F52" s="83" t="s">
        <v>129</v>
      </c>
      <c r="G52" s="87" t="s">
        <v>96</v>
      </c>
      <c r="H52" s="95" t="s">
        <v>199</v>
      </c>
      <c r="I52" s="95" t="s">
        <v>378</v>
      </c>
      <c r="J52" s="96">
        <v>1264015</v>
      </c>
      <c r="K52" s="85">
        <v>0</v>
      </c>
      <c r="L52" s="96">
        <f aca="true" t="shared" si="5" ref="L52:L59">J52-K52</f>
        <v>1264015</v>
      </c>
      <c r="M52" s="16" t="s">
        <v>138</v>
      </c>
      <c r="N52" s="95" t="s">
        <v>393</v>
      </c>
      <c r="O52" s="116" t="s">
        <v>394</v>
      </c>
    </row>
    <row r="53" spans="1:15" s="4" customFormat="1" ht="61.5" customHeight="1">
      <c r="A53" s="138">
        <v>41</v>
      </c>
      <c r="B53" s="113" t="s">
        <v>391</v>
      </c>
      <c r="C53" s="94" t="s">
        <v>392</v>
      </c>
      <c r="D53" s="94" t="s">
        <v>395</v>
      </c>
      <c r="E53" s="92">
        <v>44181</v>
      </c>
      <c r="F53" s="83" t="s">
        <v>24</v>
      </c>
      <c r="G53" s="87" t="s">
        <v>96</v>
      </c>
      <c r="H53" s="95" t="s">
        <v>171</v>
      </c>
      <c r="I53" s="95" t="s">
        <v>378</v>
      </c>
      <c r="J53" s="96">
        <v>49920</v>
      </c>
      <c r="K53" s="85">
        <v>0</v>
      </c>
      <c r="L53" s="96">
        <f t="shared" si="5"/>
        <v>49920</v>
      </c>
      <c r="M53" s="16" t="s">
        <v>138</v>
      </c>
      <c r="N53" s="95" t="s">
        <v>393</v>
      </c>
      <c r="O53" s="116" t="s">
        <v>396</v>
      </c>
    </row>
    <row r="54" spans="1:15" s="4" customFormat="1" ht="61.5" customHeight="1">
      <c r="A54" s="138">
        <v>42</v>
      </c>
      <c r="B54" s="113" t="s">
        <v>376</v>
      </c>
      <c r="C54" s="94" t="s">
        <v>377</v>
      </c>
      <c r="D54" s="94" t="s">
        <v>123</v>
      </c>
      <c r="E54" s="92">
        <v>42289</v>
      </c>
      <c r="F54" s="83" t="s">
        <v>129</v>
      </c>
      <c r="G54" s="87" t="s">
        <v>96</v>
      </c>
      <c r="H54" s="95" t="s">
        <v>158</v>
      </c>
      <c r="I54" s="95" t="s">
        <v>390</v>
      </c>
      <c r="J54" s="96">
        <v>100000</v>
      </c>
      <c r="K54" s="85">
        <v>0</v>
      </c>
      <c r="L54" s="96">
        <f t="shared" si="5"/>
        <v>100000</v>
      </c>
      <c r="M54" s="16" t="s">
        <v>138</v>
      </c>
      <c r="N54" s="95" t="s">
        <v>378</v>
      </c>
      <c r="O54" s="116" t="s">
        <v>379</v>
      </c>
    </row>
    <row r="55" spans="1:15" s="4" customFormat="1" ht="61.5" customHeight="1">
      <c r="A55" s="138">
        <v>43</v>
      </c>
      <c r="B55" s="113" t="s">
        <v>380</v>
      </c>
      <c r="C55" s="94" t="s">
        <v>381</v>
      </c>
      <c r="D55" s="94" t="s">
        <v>382</v>
      </c>
      <c r="E55" s="92">
        <v>43164</v>
      </c>
      <c r="F55" s="83" t="s">
        <v>129</v>
      </c>
      <c r="G55" s="87" t="s">
        <v>96</v>
      </c>
      <c r="H55" s="95" t="s">
        <v>221</v>
      </c>
      <c r="I55" s="95" t="s">
        <v>390</v>
      </c>
      <c r="J55" s="96">
        <v>65324</v>
      </c>
      <c r="K55" s="85">
        <v>0</v>
      </c>
      <c r="L55" s="96">
        <f t="shared" si="5"/>
        <v>65324</v>
      </c>
      <c r="M55" s="16" t="s">
        <v>138</v>
      </c>
      <c r="N55" s="95" t="s">
        <v>378</v>
      </c>
      <c r="O55" s="116" t="s">
        <v>383</v>
      </c>
    </row>
    <row r="56" spans="1:15" s="4" customFormat="1" ht="61.5" customHeight="1">
      <c r="A56" s="138">
        <v>44</v>
      </c>
      <c r="B56" s="113" t="s">
        <v>384</v>
      </c>
      <c r="C56" s="94" t="s">
        <v>385</v>
      </c>
      <c r="D56" s="94" t="s">
        <v>386</v>
      </c>
      <c r="E56" s="92">
        <v>44217</v>
      </c>
      <c r="F56" s="83" t="s">
        <v>24</v>
      </c>
      <c r="G56" s="87" t="s">
        <v>96</v>
      </c>
      <c r="H56" s="95" t="s">
        <v>218</v>
      </c>
      <c r="I56" s="95" t="s">
        <v>390</v>
      </c>
      <c r="J56" s="96">
        <v>2990</v>
      </c>
      <c r="K56" s="85">
        <v>0</v>
      </c>
      <c r="L56" s="96">
        <f t="shared" si="5"/>
        <v>2990</v>
      </c>
      <c r="M56" s="16" t="s">
        <v>138</v>
      </c>
      <c r="N56" s="95" t="s">
        <v>378</v>
      </c>
      <c r="O56" s="116" t="s">
        <v>387</v>
      </c>
    </row>
    <row r="57" spans="1:15" s="4" customFormat="1" ht="61.5" customHeight="1">
      <c r="A57" s="138">
        <v>45</v>
      </c>
      <c r="B57" s="113" t="s">
        <v>398</v>
      </c>
      <c r="C57" s="94" t="s">
        <v>316</v>
      </c>
      <c r="D57" s="94" t="s">
        <v>399</v>
      </c>
      <c r="E57" s="92">
        <v>44228</v>
      </c>
      <c r="F57" s="83" t="s">
        <v>129</v>
      </c>
      <c r="G57" s="87" t="s">
        <v>96</v>
      </c>
      <c r="H57" s="95" t="s">
        <v>216</v>
      </c>
      <c r="I57" s="95" t="s">
        <v>390</v>
      </c>
      <c r="J57" s="96">
        <v>799868</v>
      </c>
      <c r="K57" s="85">
        <v>0</v>
      </c>
      <c r="L57" s="96">
        <f t="shared" si="5"/>
        <v>799868</v>
      </c>
      <c r="M57" s="16" t="s">
        <v>138</v>
      </c>
      <c r="N57" s="95" t="s">
        <v>397</v>
      </c>
      <c r="O57" s="116" t="s">
        <v>400</v>
      </c>
    </row>
    <row r="58" spans="1:15" s="4" customFormat="1" ht="61.5" customHeight="1">
      <c r="A58" s="138">
        <v>46</v>
      </c>
      <c r="B58" s="113" t="s">
        <v>384</v>
      </c>
      <c r="C58" s="94" t="s">
        <v>385</v>
      </c>
      <c r="D58" s="94" t="s">
        <v>388</v>
      </c>
      <c r="E58" s="92">
        <v>44228</v>
      </c>
      <c r="F58" s="83" t="s">
        <v>129</v>
      </c>
      <c r="G58" s="87" t="s">
        <v>96</v>
      </c>
      <c r="H58" s="95" t="s">
        <v>166</v>
      </c>
      <c r="I58" s="95" t="s">
        <v>390</v>
      </c>
      <c r="J58" s="96">
        <v>59800</v>
      </c>
      <c r="K58" s="85">
        <v>0</v>
      </c>
      <c r="L58" s="96">
        <f t="shared" si="5"/>
        <v>59800</v>
      </c>
      <c r="M58" s="16" t="s">
        <v>138</v>
      </c>
      <c r="N58" s="95" t="s">
        <v>378</v>
      </c>
      <c r="O58" s="116" t="s">
        <v>389</v>
      </c>
    </row>
    <row r="59" spans="1:15" s="4" customFormat="1" ht="61.5" customHeight="1">
      <c r="A59" s="138">
        <v>47</v>
      </c>
      <c r="B59" s="113" t="s">
        <v>398</v>
      </c>
      <c r="C59" s="94" t="s">
        <v>316</v>
      </c>
      <c r="D59" s="94" t="s">
        <v>231</v>
      </c>
      <c r="E59" s="92">
        <v>44217</v>
      </c>
      <c r="F59" s="83" t="s">
        <v>24</v>
      </c>
      <c r="G59" s="87" t="s">
        <v>96</v>
      </c>
      <c r="H59" s="95" t="s">
        <v>220</v>
      </c>
      <c r="I59" s="95" t="s">
        <v>390</v>
      </c>
      <c r="J59" s="96">
        <v>33794</v>
      </c>
      <c r="K59" s="85">
        <v>0</v>
      </c>
      <c r="L59" s="96">
        <f t="shared" si="5"/>
        <v>33794</v>
      </c>
      <c r="M59" s="16" t="s">
        <v>138</v>
      </c>
      <c r="N59" s="95" t="s">
        <v>397</v>
      </c>
      <c r="O59" s="116" t="s">
        <v>401</v>
      </c>
    </row>
    <row r="60" spans="1:15" s="4" customFormat="1" ht="61.5" customHeight="1">
      <c r="A60" s="138">
        <v>48</v>
      </c>
      <c r="B60" s="113" t="s">
        <v>402</v>
      </c>
      <c r="C60" s="94" t="s">
        <v>404</v>
      </c>
      <c r="D60" s="94" t="s">
        <v>500</v>
      </c>
      <c r="E60" s="92">
        <v>44204</v>
      </c>
      <c r="F60" s="83" t="s">
        <v>24</v>
      </c>
      <c r="G60" s="87" t="s">
        <v>96</v>
      </c>
      <c r="H60" s="124"/>
      <c r="I60" s="124"/>
      <c r="J60" s="96">
        <f>497383</f>
        <v>497383</v>
      </c>
      <c r="K60" s="85">
        <v>0</v>
      </c>
      <c r="L60" s="96">
        <f>J60-K60</f>
        <v>497383</v>
      </c>
      <c r="M60" s="16" t="s">
        <v>138</v>
      </c>
      <c r="N60" s="95" t="s">
        <v>397</v>
      </c>
      <c r="O60" s="116" t="s">
        <v>501</v>
      </c>
    </row>
    <row r="61" spans="1:15" s="4" customFormat="1" ht="61.5" customHeight="1">
      <c r="A61" s="138">
        <v>49</v>
      </c>
      <c r="B61" s="113" t="s">
        <v>402</v>
      </c>
      <c r="C61" s="94" t="s">
        <v>404</v>
      </c>
      <c r="D61" s="94" t="s">
        <v>184</v>
      </c>
      <c r="E61" s="92">
        <v>44204</v>
      </c>
      <c r="F61" s="83" t="s">
        <v>24</v>
      </c>
      <c r="G61" s="87" t="s">
        <v>96</v>
      </c>
      <c r="H61" s="95" t="s">
        <v>178</v>
      </c>
      <c r="I61" s="95" t="s">
        <v>403</v>
      </c>
      <c r="J61" s="96">
        <f>50651</f>
        <v>50651</v>
      </c>
      <c r="K61" s="85">
        <v>0</v>
      </c>
      <c r="L61" s="96">
        <f>J61-K61</f>
        <v>50651</v>
      </c>
      <c r="M61" s="16" t="s">
        <v>138</v>
      </c>
      <c r="N61" s="95" t="s">
        <v>397</v>
      </c>
      <c r="O61" s="116" t="s">
        <v>502</v>
      </c>
    </row>
    <row r="62" spans="1:15" s="4" customFormat="1" ht="61.5" customHeight="1">
      <c r="A62" s="138">
        <v>50</v>
      </c>
      <c r="B62" s="113" t="s">
        <v>405</v>
      </c>
      <c r="C62" s="94" t="s">
        <v>406</v>
      </c>
      <c r="D62" s="94" t="s">
        <v>407</v>
      </c>
      <c r="E62" s="92">
        <v>44257</v>
      </c>
      <c r="F62" s="83" t="s">
        <v>129</v>
      </c>
      <c r="G62" s="87" t="s">
        <v>96</v>
      </c>
      <c r="H62" s="95" t="s">
        <v>185</v>
      </c>
      <c r="I62" s="95" t="s">
        <v>408</v>
      </c>
      <c r="J62" s="96">
        <f>1160493+1717839</f>
        <v>2878332</v>
      </c>
      <c r="K62" s="85">
        <v>750000</v>
      </c>
      <c r="L62" s="96">
        <f>J62-K62</f>
        <v>2128332</v>
      </c>
      <c r="M62" s="16" t="s">
        <v>138</v>
      </c>
      <c r="N62" s="95" t="s">
        <v>409</v>
      </c>
      <c r="O62" s="122" t="s">
        <v>734</v>
      </c>
    </row>
    <row r="63" spans="1:15" s="4" customFormat="1" ht="86.25" customHeight="1">
      <c r="A63" s="138">
        <v>51</v>
      </c>
      <c r="B63" s="113" t="s">
        <v>412</v>
      </c>
      <c r="C63" s="94" t="s">
        <v>413</v>
      </c>
      <c r="D63" s="94" t="s">
        <v>414</v>
      </c>
      <c r="E63" s="92">
        <v>44263</v>
      </c>
      <c r="F63" s="83" t="s">
        <v>129</v>
      </c>
      <c r="G63" s="87" t="s">
        <v>97</v>
      </c>
      <c r="H63" s="95" t="s">
        <v>168</v>
      </c>
      <c r="I63" s="95" t="s">
        <v>411</v>
      </c>
      <c r="J63" s="96">
        <v>33266</v>
      </c>
      <c r="K63" s="85"/>
      <c r="L63" s="96">
        <f aca="true" t="shared" si="6" ref="L63:L85">J63-K63</f>
        <v>33266</v>
      </c>
      <c r="M63" s="16" t="s">
        <v>138</v>
      </c>
      <c r="N63" s="95" t="s">
        <v>411</v>
      </c>
      <c r="O63" s="116" t="s">
        <v>415</v>
      </c>
    </row>
    <row r="64" spans="1:15" s="4" customFormat="1" ht="61.5" customHeight="1">
      <c r="A64" s="138">
        <v>52</v>
      </c>
      <c r="B64" s="113" t="s">
        <v>416</v>
      </c>
      <c r="C64" s="94" t="s">
        <v>417</v>
      </c>
      <c r="D64" s="94" t="s">
        <v>270</v>
      </c>
      <c r="E64" s="92">
        <v>44132</v>
      </c>
      <c r="F64" s="83" t="s">
        <v>129</v>
      </c>
      <c r="G64" s="87" t="s">
        <v>96</v>
      </c>
      <c r="H64" s="95" t="s">
        <v>305</v>
      </c>
      <c r="I64" s="95" t="s">
        <v>418</v>
      </c>
      <c r="J64" s="96">
        <f>61678</f>
        <v>61678</v>
      </c>
      <c r="K64" s="85">
        <v>0</v>
      </c>
      <c r="L64" s="96">
        <f t="shared" si="6"/>
        <v>61678</v>
      </c>
      <c r="M64" s="16" t="s">
        <v>138</v>
      </c>
      <c r="N64" s="95" t="s">
        <v>409</v>
      </c>
      <c r="O64" s="116" t="s">
        <v>554</v>
      </c>
    </row>
    <row r="65" spans="1:15" s="4" customFormat="1" ht="61.5" customHeight="1">
      <c r="A65" s="138">
        <v>53</v>
      </c>
      <c r="B65" s="113" t="s">
        <v>419</v>
      </c>
      <c r="C65" s="94" t="s">
        <v>420</v>
      </c>
      <c r="D65" s="94" t="s">
        <v>198</v>
      </c>
      <c r="E65" s="92">
        <v>44258</v>
      </c>
      <c r="F65" s="83" t="s">
        <v>129</v>
      </c>
      <c r="G65" s="87" t="s">
        <v>96</v>
      </c>
      <c r="H65" s="95" t="s">
        <v>177</v>
      </c>
      <c r="I65" s="95" t="s">
        <v>418</v>
      </c>
      <c r="J65" s="96">
        <v>57113</v>
      </c>
      <c r="K65" s="85">
        <v>0</v>
      </c>
      <c r="L65" s="96">
        <f t="shared" si="6"/>
        <v>57113</v>
      </c>
      <c r="M65" s="16" t="s">
        <v>138</v>
      </c>
      <c r="N65" s="95" t="s">
        <v>409</v>
      </c>
      <c r="O65" s="116" t="s">
        <v>421</v>
      </c>
    </row>
    <row r="66" spans="1:15" s="4" customFormat="1" ht="61.5" customHeight="1">
      <c r="A66" s="138">
        <v>54</v>
      </c>
      <c r="B66" s="113" t="s">
        <v>423</v>
      </c>
      <c r="C66" s="94" t="s">
        <v>424</v>
      </c>
      <c r="D66" s="94" t="s">
        <v>425</v>
      </c>
      <c r="E66" s="92">
        <v>44279</v>
      </c>
      <c r="F66" s="83" t="s">
        <v>24</v>
      </c>
      <c r="G66" s="87" t="s">
        <v>97</v>
      </c>
      <c r="H66" s="95" t="s">
        <v>422</v>
      </c>
      <c r="I66" s="95" t="s">
        <v>426</v>
      </c>
      <c r="J66" s="96">
        <v>9700</v>
      </c>
      <c r="K66" s="85"/>
      <c r="L66" s="96">
        <f t="shared" si="6"/>
        <v>9700</v>
      </c>
      <c r="M66" s="16" t="s">
        <v>138</v>
      </c>
      <c r="N66" s="95" t="s">
        <v>426</v>
      </c>
      <c r="O66" s="116" t="s">
        <v>427</v>
      </c>
    </row>
    <row r="67" spans="1:15" s="4" customFormat="1" ht="61.5" customHeight="1">
      <c r="A67" s="138">
        <v>55</v>
      </c>
      <c r="B67" s="113" t="s">
        <v>428</v>
      </c>
      <c r="C67" s="94" t="s">
        <v>429</v>
      </c>
      <c r="D67" s="94" t="s">
        <v>430</v>
      </c>
      <c r="E67" s="92">
        <v>44389</v>
      </c>
      <c r="F67" s="83" t="s">
        <v>24</v>
      </c>
      <c r="G67" s="87" t="s">
        <v>97</v>
      </c>
      <c r="H67" s="95" t="s">
        <v>324</v>
      </c>
      <c r="I67" s="95" t="s">
        <v>431</v>
      </c>
      <c r="J67" s="96">
        <v>4200</v>
      </c>
      <c r="K67" s="85">
        <v>0</v>
      </c>
      <c r="L67" s="96">
        <f t="shared" si="6"/>
        <v>4200</v>
      </c>
      <c r="M67" s="16" t="s">
        <v>138</v>
      </c>
      <c r="N67" s="95" t="s">
        <v>431</v>
      </c>
      <c r="O67" s="116" t="s">
        <v>432</v>
      </c>
    </row>
    <row r="68" spans="1:15" s="4" customFormat="1" ht="61.5" customHeight="1">
      <c r="A68" s="138">
        <v>56</v>
      </c>
      <c r="B68" s="113" t="s">
        <v>433</v>
      </c>
      <c r="C68" s="94" t="s">
        <v>434</v>
      </c>
      <c r="D68" s="94" t="s">
        <v>435</v>
      </c>
      <c r="E68" s="92">
        <v>44200</v>
      </c>
      <c r="F68" s="83" t="s">
        <v>129</v>
      </c>
      <c r="G68" s="87" t="s">
        <v>96</v>
      </c>
      <c r="H68" s="95" t="s">
        <v>234</v>
      </c>
      <c r="I68" s="95" t="s">
        <v>431</v>
      </c>
      <c r="J68" s="96">
        <v>16960</v>
      </c>
      <c r="K68" s="85">
        <v>0</v>
      </c>
      <c r="L68" s="96">
        <f t="shared" si="6"/>
        <v>16960</v>
      </c>
      <c r="M68" s="16" t="s">
        <v>138</v>
      </c>
      <c r="N68" s="95" t="s">
        <v>431</v>
      </c>
      <c r="O68" s="116" t="s">
        <v>436</v>
      </c>
    </row>
    <row r="69" spans="1:15" s="4" customFormat="1" ht="61.5" customHeight="1">
      <c r="A69" s="138">
        <v>57</v>
      </c>
      <c r="B69" s="113" t="s">
        <v>438</v>
      </c>
      <c r="C69" s="94" t="s">
        <v>439</v>
      </c>
      <c r="D69" s="94" t="s">
        <v>440</v>
      </c>
      <c r="E69" s="92">
        <v>44279</v>
      </c>
      <c r="F69" s="83" t="s">
        <v>129</v>
      </c>
      <c r="G69" s="87" t="s">
        <v>96</v>
      </c>
      <c r="H69" s="95" t="s">
        <v>235</v>
      </c>
      <c r="I69" s="95" t="s">
        <v>437</v>
      </c>
      <c r="J69" s="96">
        <v>220000</v>
      </c>
      <c r="K69" s="85">
        <v>0</v>
      </c>
      <c r="L69" s="96">
        <f t="shared" si="6"/>
        <v>220000</v>
      </c>
      <c r="M69" s="16" t="s">
        <v>138</v>
      </c>
      <c r="N69" s="95" t="s">
        <v>437</v>
      </c>
      <c r="O69" s="116" t="s">
        <v>441</v>
      </c>
    </row>
    <row r="70" spans="1:15" s="4" customFormat="1" ht="61.5" customHeight="1">
      <c r="A70" s="138">
        <v>58</v>
      </c>
      <c r="B70" s="113" t="s">
        <v>442</v>
      </c>
      <c r="C70" s="94" t="s">
        <v>443</v>
      </c>
      <c r="D70" s="94" t="s">
        <v>444</v>
      </c>
      <c r="E70" s="92">
        <v>43754</v>
      </c>
      <c r="F70" s="83" t="s">
        <v>129</v>
      </c>
      <c r="G70" s="87" t="s">
        <v>96</v>
      </c>
      <c r="H70" s="124"/>
      <c r="I70" s="124"/>
      <c r="J70" s="96">
        <f>286877+200000</f>
        <v>486877</v>
      </c>
      <c r="K70" s="85">
        <v>50000</v>
      </c>
      <c r="L70" s="96">
        <f t="shared" si="6"/>
        <v>436877</v>
      </c>
      <c r="M70" s="16" t="s">
        <v>138</v>
      </c>
      <c r="N70" s="124"/>
      <c r="O70" s="122" t="s">
        <v>591</v>
      </c>
    </row>
    <row r="71" spans="1:15" s="4" customFormat="1" ht="61.5" customHeight="1">
      <c r="A71" s="138">
        <v>59</v>
      </c>
      <c r="B71" s="113" t="s">
        <v>445</v>
      </c>
      <c r="C71" s="94" t="s">
        <v>392</v>
      </c>
      <c r="D71" s="94" t="s">
        <v>446</v>
      </c>
      <c r="E71" s="92">
        <v>44250</v>
      </c>
      <c r="F71" s="83" t="s">
        <v>129</v>
      </c>
      <c r="G71" s="87" t="s">
        <v>96</v>
      </c>
      <c r="H71" s="124"/>
      <c r="I71" s="124"/>
      <c r="J71" s="96">
        <f>162870+256396+709001+3660209</f>
        <v>4788476</v>
      </c>
      <c r="K71" s="85">
        <v>200000</v>
      </c>
      <c r="L71" s="96">
        <f t="shared" si="6"/>
        <v>4588476</v>
      </c>
      <c r="M71" s="16" t="s">
        <v>138</v>
      </c>
      <c r="N71" s="124"/>
      <c r="O71" s="122" t="s">
        <v>651</v>
      </c>
    </row>
    <row r="72" spans="1:15" s="4" customFormat="1" ht="61.5" customHeight="1">
      <c r="A72" s="138">
        <v>60</v>
      </c>
      <c r="B72" s="113" t="s">
        <v>447</v>
      </c>
      <c r="C72" s="94" t="s">
        <v>448</v>
      </c>
      <c r="D72" s="94" t="s">
        <v>259</v>
      </c>
      <c r="E72" s="92">
        <v>43299</v>
      </c>
      <c r="F72" s="83" t="s">
        <v>24</v>
      </c>
      <c r="G72" s="87" t="s">
        <v>96</v>
      </c>
      <c r="H72" s="124"/>
      <c r="I72" s="124"/>
      <c r="J72" s="96">
        <f>189138+500000+500000</f>
        <v>1189138</v>
      </c>
      <c r="K72" s="85">
        <v>0</v>
      </c>
      <c r="L72" s="96">
        <f t="shared" si="6"/>
        <v>1189138</v>
      </c>
      <c r="M72" s="16" t="s">
        <v>138</v>
      </c>
      <c r="N72" s="124"/>
      <c r="O72" s="122" t="s">
        <v>650</v>
      </c>
    </row>
    <row r="73" spans="1:15" s="4" customFormat="1" ht="61.5" customHeight="1">
      <c r="A73" s="138">
        <v>61</v>
      </c>
      <c r="B73" s="113" t="s">
        <v>449</v>
      </c>
      <c r="C73" s="94" t="s">
        <v>450</v>
      </c>
      <c r="D73" s="94" t="s">
        <v>451</v>
      </c>
      <c r="E73" s="92">
        <v>42479</v>
      </c>
      <c r="F73" s="83" t="s">
        <v>129</v>
      </c>
      <c r="G73" s="87" t="s">
        <v>96</v>
      </c>
      <c r="H73" s="95" t="s">
        <v>498</v>
      </c>
      <c r="I73" s="95" t="s">
        <v>499</v>
      </c>
      <c r="J73" s="96">
        <v>50000</v>
      </c>
      <c r="K73" s="85">
        <v>0</v>
      </c>
      <c r="L73" s="96">
        <f>J73-K73</f>
        <v>50000</v>
      </c>
      <c r="M73" s="16" t="s">
        <v>138</v>
      </c>
      <c r="N73" s="95" t="s">
        <v>497</v>
      </c>
      <c r="O73" s="116" t="s">
        <v>452</v>
      </c>
    </row>
    <row r="74" spans="1:15" s="4" customFormat="1" ht="61.5" customHeight="1">
      <c r="A74" s="138">
        <v>62</v>
      </c>
      <c r="B74" s="113" t="s">
        <v>453</v>
      </c>
      <c r="C74" s="94" t="s">
        <v>454</v>
      </c>
      <c r="D74" s="94" t="s">
        <v>179</v>
      </c>
      <c r="E74" s="92">
        <v>43742</v>
      </c>
      <c r="F74" s="83" t="s">
        <v>129</v>
      </c>
      <c r="G74" s="87" t="s">
        <v>97</v>
      </c>
      <c r="H74" s="95" t="s">
        <v>236</v>
      </c>
      <c r="I74" s="95" t="s">
        <v>499</v>
      </c>
      <c r="J74" s="96">
        <v>19308</v>
      </c>
      <c r="K74" s="96">
        <v>0</v>
      </c>
      <c r="L74" s="96">
        <f t="shared" si="6"/>
        <v>19308</v>
      </c>
      <c r="M74" s="83" t="s">
        <v>138</v>
      </c>
      <c r="N74" s="95" t="s">
        <v>497</v>
      </c>
      <c r="O74" s="116" t="s">
        <v>455</v>
      </c>
    </row>
    <row r="75" spans="1:15" s="4" customFormat="1" ht="61.5" customHeight="1">
      <c r="A75" s="138">
        <v>63</v>
      </c>
      <c r="B75" s="113" t="s">
        <v>456</v>
      </c>
      <c r="C75" s="94" t="s">
        <v>457</v>
      </c>
      <c r="D75" s="94" t="s">
        <v>458</v>
      </c>
      <c r="E75" s="92">
        <v>43794</v>
      </c>
      <c r="F75" s="83" t="s">
        <v>24</v>
      </c>
      <c r="G75" s="87" t="s">
        <v>96</v>
      </c>
      <c r="H75" s="124"/>
      <c r="I75" s="124"/>
      <c r="J75" s="96">
        <v>5978</v>
      </c>
      <c r="K75" s="85">
        <v>0</v>
      </c>
      <c r="L75" s="96">
        <f t="shared" si="6"/>
        <v>5978</v>
      </c>
      <c r="M75" s="16" t="s">
        <v>138</v>
      </c>
      <c r="N75" s="124"/>
      <c r="O75" s="116" t="s">
        <v>459</v>
      </c>
    </row>
    <row r="76" spans="1:15" s="4" customFormat="1" ht="61.5" customHeight="1">
      <c r="A76" s="138">
        <v>64</v>
      </c>
      <c r="B76" s="113" t="s">
        <v>460</v>
      </c>
      <c r="C76" s="94" t="s">
        <v>461</v>
      </c>
      <c r="D76" s="94" t="s">
        <v>462</v>
      </c>
      <c r="E76" s="92">
        <v>43774</v>
      </c>
      <c r="F76" s="83" t="s">
        <v>24</v>
      </c>
      <c r="G76" s="87" t="s">
        <v>97</v>
      </c>
      <c r="H76" s="124"/>
      <c r="I76" s="124"/>
      <c r="J76" s="96">
        <v>100400</v>
      </c>
      <c r="K76" s="85">
        <v>0</v>
      </c>
      <c r="L76" s="96">
        <f t="shared" si="6"/>
        <v>100400</v>
      </c>
      <c r="M76" s="16" t="s">
        <v>138</v>
      </c>
      <c r="N76" s="124"/>
      <c r="O76" s="116" t="s">
        <v>463</v>
      </c>
    </row>
    <row r="77" spans="1:15" s="4" customFormat="1" ht="61.5" customHeight="1">
      <c r="A77" s="138">
        <v>65</v>
      </c>
      <c r="B77" s="113" t="s">
        <v>465</v>
      </c>
      <c r="C77" s="94" t="s">
        <v>466</v>
      </c>
      <c r="D77" s="94" t="s">
        <v>467</v>
      </c>
      <c r="E77" s="92" t="s">
        <v>468</v>
      </c>
      <c r="F77" s="83" t="s">
        <v>24</v>
      </c>
      <c r="G77" s="87" t="s">
        <v>97</v>
      </c>
      <c r="H77" s="124"/>
      <c r="I77" s="124"/>
      <c r="J77" s="96">
        <v>8400</v>
      </c>
      <c r="K77" s="85">
        <v>0</v>
      </c>
      <c r="L77" s="96">
        <f t="shared" si="6"/>
        <v>8400</v>
      </c>
      <c r="M77" s="16" t="s">
        <v>138</v>
      </c>
      <c r="N77" s="124"/>
      <c r="O77" s="116" t="s">
        <v>464</v>
      </c>
    </row>
    <row r="78" spans="1:15" s="4" customFormat="1" ht="61.5" customHeight="1">
      <c r="A78" s="138">
        <v>66</v>
      </c>
      <c r="B78" s="113" t="s">
        <v>469</v>
      </c>
      <c r="C78" s="94" t="s">
        <v>470</v>
      </c>
      <c r="D78" s="94" t="s">
        <v>471</v>
      </c>
      <c r="E78" s="92">
        <v>42088</v>
      </c>
      <c r="F78" s="83" t="s">
        <v>24</v>
      </c>
      <c r="G78" s="87" t="s">
        <v>97</v>
      </c>
      <c r="H78" s="124"/>
      <c r="I78" s="124"/>
      <c r="J78" s="96">
        <v>3000</v>
      </c>
      <c r="K78" s="85">
        <v>0</v>
      </c>
      <c r="L78" s="96">
        <f t="shared" si="6"/>
        <v>3000</v>
      </c>
      <c r="M78" s="16" t="s">
        <v>138</v>
      </c>
      <c r="N78" s="124"/>
      <c r="O78" s="116" t="s">
        <v>472</v>
      </c>
    </row>
    <row r="79" spans="1:15" s="4" customFormat="1" ht="61.5" customHeight="1">
      <c r="A79" s="138">
        <v>67</v>
      </c>
      <c r="B79" s="113" t="s">
        <v>473</v>
      </c>
      <c r="C79" s="94" t="s">
        <v>474</v>
      </c>
      <c r="D79" s="94" t="s">
        <v>475</v>
      </c>
      <c r="E79" s="92">
        <v>43836</v>
      </c>
      <c r="F79" s="83" t="s">
        <v>24</v>
      </c>
      <c r="G79" s="87" t="s">
        <v>96</v>
      </c>
      <c r="H79" s="124"/>
      <c r="I79" s="124"/>
      <c r="J79" s="96">
        <v>23548</v>
      </c>
      <c r="K79" s="85">
        <v>0</v>
      </c>
      <c r="L79" s="96">
        <f t="shared" si="6"/>
        <v>23548</v>
      </c>
      <c r="M79" s="16" t="s">
        <v>138</v>
      </c>
      <c r="N79" s="124"/>
      <c r="O79" s="116" t="s">
        <v>476</v>
      </c>
    </row>
    <row r="80" spans="1:15" s="4" customFormat="1" ht="61.5" customHeight="1">
      <c r="A80" s="138">
        <v>68</v>
      </c>
      <c r="B80" s="113" t="s">
        <v>477</v>
      </c>
      <c r="C80" s="94" t="s">
        <v>478</v>
      </c>
      <c r="D80" s="94" t="s">
        <v>347</v>
      </c>
      <c r="E80" s="92">
        <v>42438</v>
      </c>
      <c r="F80" s="83" t="s">
        <v>129</v>
      </c>
      <c r="G80" s="87" t="s">
        <v>96</v>
      </c>
      <c r="H80" s="95" t="s">
        <v>268</v>
      </c>
      <c r="I80" s="95" t="s">
        <v>503</v>
      </c>
      <c r="J80" s="96">
        <v>393311</v>
      </c>
      <c r="K80" s="85">
        <v>0</v>
      </c>
      <c r="L80" s="96">
        <f t="shared" si="6"/>
        <v>393311</v>
      </c>
      <c r="M80" s="16" t="s">
        <v>138</v>
      </c>
      <c r="N80" s="124"/>
      <c r="O80" s="116" t="s">
        <v>479</v>
      </c>
    </row>
    <row r="81" spans="1:15" s="4" customFormat="1" ht="61.5" customHeight="1">
      <c r="A81" s="138">
        <v>69</v>
      </c>
      <c r="B81" s="113" t="s">
        <v>480</v>
      </c>
      <c r="C81" s="94" t="s">
        <v>285</v>
      </c>
      <c r="D81" s="94" t="s">
        <v>166</v>
      </c>
      <c r="E81" s="92">
        <v>44126</v>
      </c>
      <c r="F81" s="83" t="s">
        <v>24</v>
      </c>
      <c r="G81" s="87" t="s">
        <v>96</v>
      </c>
      <c r="H81" s="95" t="s">
        <v>505</v>
      </c>
      <c r="I81" s="95" t="s">
        <v>504</v>
      </c>
      <c r="J81" s="96">
        <v>13128</v>
      </c>
      <c r="K81" s="85">
        <v>0</v>
      </c>
      <c r="L81" s="96">
        <f t="shared" si="6"/>
        <v>13128</v>
      </c>
      <c r="M81" s="16" t="s">
        <v>138</v>
      </c>
      <c r="N81" s="95" t="s">
        <v>504</v>
      </c>
      <c r="O81" s="116" t="s">
        <v>481</v>
      </c>
    </row>
    <row r="82" spans="1:15" s="4" customFormat="1" ht="61.5" customHeight="1">
      <c r="A82" s="138">
        <v>70</v>
      </c>
      <c r="B82" s="113" t="s">
        <v>482</v>
      </c>
      <c r="C82" s="94" t="s">
        <v>483</v>
      </c>
      <c r="D82" s="94" t="s">
        <v>484</v>
      </c>
      <c r="E82" s="92">
        <v>44305</v>
      </c>
      <c r="F82" s="83" t="s">
        <v>129</v>
      </c>
      <c r="G82" s="87" t="s">
        <v>96</v>
      </c>
      <c r="H82" s="95" t="s">
        <v>182</v>
      </c>
      <c r="I82" s="95" t="s">
        <v>499</v>
      </c>
      <c r="J82" s="96">
        <f>6500+400000</f>
        <v>406500</v>
      </c>
      <c r="K82" s="96">
        <v>0</v>
      </c>
      <c r="L82" s="96">
        <f t="shared" si="6"/>
        <v>406500</v>
      </c>
      <c r="M82" s="83" t="s">
        <v>138</v>
      </c>
      <c r="N82" s="95" t="s">
        <v>497</v>
      </c>
      <c r="O82" s="122" t="s">
        <v>612</v>
      </c>
    </row>
    <row r="83" spans="1:15" s="4" customFormat="1" ht="43.5" customHeight="1">
      <c r="A83" s="138">
        <v>71</v>
      </c>
      <c r="B83" s="135" t="s">
        <v>487</v>
      </c>
      <c r="C83" s="94" t="s">
        <v>316</v>
      </c>
      <c r="D83" s="94" t="s">
        <v>488</v>
      </c>
      <c r="E83" s="92">
        <v>44279</v>
      </c>
      <c r="F83" s="83" t="s">
        <v>24</v>
      </c>
      <c r="G83" s="87" t="s">
        <v>96</v>
      </c>
      <c r="H83" s="95" t="s">
        <v>489</v>
      </c>
      <c r="I83" s="95" t="s">
        <v>490</v>
      </c>
      <c r="J83" s="96">
        <v>4601</v>
      </c>
      <c r="K83" s="85">
        <v>0</v>
      </c>
      <c r="L83" s="96">
        <f t="shared" si="6"/>
        <v>4601</v>
      </c>
      <c r="M83" s="16" t="s">
        <v>138</v>
      </c>
      <c r="N83" s="95" t="s">
        <v>490</v>
      </c>
      <c r="O83" s="116" t="s">
        <v>491</v>
      </c>
    </row>
    <row r="84" spans="1:15" s="4" customFormat="1" ht="61.5" customHeight="1">
      <c r="A84" s="138">
        <v>72</v>
      </c>
      <c r="B84" s="135" t="s">
        <v>492</v>
      </c>
      <c r="C84" s="94" t="s">
        <v>493</v>
      </c>
      <c r="D84" s="94" t="s">
        <v>189</v>
      </c>
      <c r="E84" s="92">
        <v>44109</v>
      </c>
      <c r="F84" s="83" t="s">
        <v>24</v>
      </c>
      <c r="G84" s="87" t="s">
        <v>96</v>
      </c>
      <c r="H84" s="95" t="s">
        <v>270</v>
      </c>
      <c r="I84" s="95" t="s">
        <v>494</v>
      </c>
      <c r="J84" s="96">
        <f>8250</f>
        <v>8250</v>
      </c>
      <c r="K84" s="85">
        <v>0</v>
      </c>
      <c r="L84" s="96">
        <f t="shared" si="6"/>
        <v>8250</v>
      </c>
      <c r="M84" s="16" t="s">
        <v>138</v>
      </c>
      <c r="N84" s="95" t="s">
        <v>495</v>
      </c>
      <c r="O84" s="116" t="s">
        <v>573</v>
      </c>
    </row>
    <row r="85" spans="1:15" s="4" customFormat="1" ht="52.5" customHeight="1">
      <c r="A85" s="138">
        <v>73</v>
      </c>
      <c r="B85" s="135" t="s">
        <v>496</v>
      </c>
      <c r="C85" s="94" t="s">
        <v>404</v>
      </c>
      <c r="D85" s="94" t="s">
        <v>281</v>
      </c>
      <c r="E85" s="92">
        <v>44292</v>
      </c>
      <c r="F85" s="83" t="s">
        <v>129</v>
      </c>
      <c r="G85" s="87" t="s">
        <v>96</v>
      </c>
      <c r="H85" s="124"/>
      <c r="I85" s="124"/>
      <c r="J85" s="96">
        <f>47172+120000+273910</f>
        <v>441082</v>
      </c>
      <c r="K85" s="85">
        <v>0</v>
      </c>
      <c r="L85" s="96">
        <f t="shared" si="6"/>
        <v>441082</v>
      </c>
      <c r="M85" s="16" t="s">
        <v>138</v>
      </c>
      <c r="N85" s="124"/>
      <c r="O85" s="122" t="s">
        <v>574</v>
      </c>
    </row>
    <row r="86" spans="1:15" s="4" customFormat="1" ht="50.25" customHeight="1">
      <c r="A86" s="138">
        <v>74</v>
      </c>
      <c r="B86" s="135" t="s">
        <v>506</v>
      </c>
      <c r="C86" s="94" t="s">
        <v>507</v>
      </c>
      <c r="D86" s="94" t="s">
        <v>508</v>
      </c>
      <c r="E86" s="92">
        <v>44673</v>
      </c>
      <c r="F86" s="83" t="s">
        <v>24</v>
      </c>
      <c r="G86" s="87" t="s">
        <v>97</v>
      </c>
      <c r="H86" s="95" t="s">
        <v>197</v>
      </c>
      <c r="I86" s="95" t="s">
        <v>509</v>
      </c>
      <c r="J86" s="96">
        <f>785+110000</f>
        <v>110785</v>
      </c>
      <c r="K86" s="85">
        <v>0</v>
      </c>
      <c r="L86" s="96">
        <f aca="true" t="shared" si="7" ref="L86:L144">J86-K86</f>
        <v>110785</v>
      </c>
      <c r="M86" s="16" t="s">
        <v>138</v>
      </c>
      <c r="N86" s="95" t="s">
        <v>510</v>
      </c>
      <c r="O86" s="122" t="s">
        <v>590</v>
      </c>
    </row>
    <row r="87" spans="1:15" s="4" customFormat="1" ht="50.25" customHeight="1">
      <c r="A87" s="138">
        <v>75</v>
      </c>
      <c r="B87" s="135" t="s">
        <v>512</v>
      </c>
      <c r="C87" s="94" t="s">
        <v>511</v>
      </c>
      <c r="D87" s="94" t="s">
        <v>513</v>
      </c>
      <c r="E87" s="92">
        <v>44172</v>
      </c>
      <c r="F87" s="83" t="s">
        <v>129</v>
      </c>
      <c r="G87" s="87" t="s">
        <v>96</v>
      </c>
      <c r="H87" s="124"/>
      <c r="I87" s="124"/>
      <c r="J87" s="96">
        <v>45235</v>
      </c>
      <c r="K87" s="85">
        <v>0</v>
      </c>
      <c r="L87" s="96">
        <f t="shared" si="7"/>
        <v>45235</v>
      </c>
      <c r="M87" s="16" t="s">
        <v>138</v>
      </c>
      <c r="N87" s="124"/>
      <c r="O87" s="116" t="s">
        <v>514</v>
      </c>
    </row>
    <row r="88" spans="1:15" s="4" customFormat="1" ht="50.25" customHeight="1">
      <c r="A88" s="138">
        <v>76</v>
      </c>
      <c r="B88" s="135" t="s">
        <v>515</v>
      </c>
      <c r="C88" s="94" t="s">
        <v>516</v>
      </c>
      <c r="D88" s="94" t="s">
        <v>212</v>
      </c>
      <c r="E88" s="92">
        <v>44145</v>
      </c>
      <c r="F88" s="83" t="s">
        <v>129</v>
      </c>
      <c r="G88" s="87" t="s">
        <v>96</v>
      </c>
      <c r="H88" s="95" t="s">
        <v>162</v>
      </c>
      <c r="I88" s="95" t="s">
        <v>510</v>
      </c>
      <c r="J88" s="96">
        <v>157935</v>
      </c>
      <c r="K88" s="85">
        <v>0</v>
      </c>
      <c r="L88" s="96">
        <f t="shared" si="7"/>
        <v>157935</v>
      </c>
      <c r="M88" s="16" t="s">
        <v>138</v>
      </c>
      <c r="N88" s="95" t="s">
        <v>510</v>
      </c>
      <c r="O88" s="116" t="s">
        <v>517</v>
      </c>
    </row>
    <row r="89" spans="1:15" s="4" customFormat="1" ht="50.25" customHeight="1">
      <c r="A89" s="138">
        <v>77</v>
      </c>
      <c r="B89" s="135" t="s">
        <v>518</v>
      </c>
      <c r="C89" s="94" t="s">
        <v>410</v>
      </c>
      <c r="D89" s="94" t="s">
        <v>519</v>
      </c>
      <c r="E89" s="92">
        <v>44172</v>
      </c>
      <c r="F89" s="83" t="s">
        <v>129</v>
      </c>
      <c r="G89" s="87" t="s">
        <v>96</v>
      </c>
      <c r="H89" s="95" t="s">
        <v>237</v>
      </c>
      <c r="I89" s="95" t="s">
        <v>510</v>
      </c>
      <c r="J89" s="96">
        <v>145843</v>
      </c>
      <c r="K89" s="85">
        <v>0</v>
      </c>
      <c r="L89" s="96">
        <f t="shared" si="7"/>
        <v>145843</v>
      </c>
      <c r="M89" s="16" t="s">
        <v>138</v>
      </c>
      <c r="N89" s="95" t="s">
        <v>510</v>
      </c>
      <c r="O89" s="116" t="s">
        <v>520</v>
      </c>
    </row>
    <row r="90" spans="1:15" s="4" customFormat="1" ht="50.25" customHeight="1">
      <c r="A90" s="138">
        <v>78</v>
      </c>
      <c r="B90" s="135" t="s">
        <v>521</v>
      </c>
      <c r="C90" s="94" t="s">
        <v>522</v>
      </c>
      <c r="D90" s="94" t="s">
        <v>524</v>
      </c>
      <c r="E90" s="92">
        <v>44026</v>
      </c>
      <c r="F90" s="83" t="s">
        <v>129</v>
      </c>
      <c r="G90" s="87" t="s">
        <v>96</v>
      </c>
      <c r="H90" s="95" t="s">
        <v>188</v>
      </c>
      <c r="I90" s="95" t="s">
        <v>510</v>
      </c>
      <c r="J90" s="96">
        <v>145190</v>
      </c>
      <c r="K90" s="85">
        <v>0</v>
      </c>
      <c r="L90" s="96">
        <f t="shared" si="7"/>
        <v>145190</v>
      </c>
      <c r="M90" s="16" t="s">
        <v>138</v>
      </c>
      <c r="N90" s="95" t="s">
        <v>510</v>
      </c>
      <c r="O90" s="116" t="s">
        <v>523</v>
      </c>
    </row>
    <row r="91" spans="1:15" s="4" customFormat="1" ht="50.25" customHeight="1">
      <c r="A91" s="138">
        <v>79</v>
      </c>
      <c r="B91" s="135" t="s">
        <v>525</v>
      </c>
      <c r="C91" s="94" t="s">
        <v>526</v>
      </c>
      <c r="D91" s="94" t="s">
        <v>166</v>
      </c>
      <c r="E91" s="92">
        <v>44477</v>
      </c>
      <c r="F91" s="83" t="s">
        <v>24</v>
      </c>
      <c r="G91" s="87" t="s">
        <v>96</v>
      </c>
      <c r="H91" s="124"/>
      <c r="I91" s="124"/>
      <c r="J91" s="96">
        <v>6950</v>
      </c>
      <c r="K91" s="85">
        <v>0</v>
      </c>
      <c r="L91" s="96">
        <f t="shared" si="7"/>
        <v>6950</v>
      </c>
      <c r="M91" s="16" t="s">
        <v>138</v>
      </c>
      <c r="N91" s="124"/>
      <c r="O91" s="116" t="s">
        <v>527</v>
      </c>
    </row>
    <row r="92" spans="1:15" s="4" customFormat="1" ht="50.25" customHeight="1">
      <c r="A92" s="138">
        <v>80</v>
      </c>
      <c r="B92" s="135" t="s">
        <v>528</v>
      </c>
      <c r="C92" s="94" t="s">
        <v>529</v>
      </c>
      <c r="D92" s="94" t="s">
        <v>530</v>
      </c>
      <c r="E92" s="92">
        <v>44603</v>
      </c>
      <c r="F92" s="83" t="s">
        <v>24</v>
      </c>
      <c r="G92" s="87" t="s">
        <v>97</v>
      </c>
      <c r="H92" s="95" t="s">
        <v>156</v>
      </c>
      <c r="I92" s="95" t="s">
        <v>531</v>
      </c>
      <c r="J92" s="96">
        <v>27527</v>
      </c>
      <c r="K92" s="85">
        <v>0</v>
      </c>
      <c r="L92" s="96">
        <f t="shared" si="7"/>
        <v>27527</v>
      </c>
      <c r="M92" s="16" t="s">
        <v>138</v>
      </c>
      <c r="N92" s="95" t="s">
        <v>531</v>
      </c>
      <c r="O92" s="116" t="s">
        <v>532</v>
      </c>
    </row>
    <row r="93" spans="1:15" s="4" customFormat="1" ht="50.25" customHeight="1">
      <c r="A93" s="138">
        <v>81</v>
      </c>
      <c r="B93" s="135" t="s">
        <v>533</v>
      </c>
      <c r="C93" s="94" t="s">
        <v>534</v>
      </c>
      <c r="D93" s="94" t="s">
        <v>535</v>
      </c>
      <c r="E93" s="92">
        <v>44720</v>
      </c>
      <c r="F93" s="83" t="s">
        <v>24</v>
      </c>
      <c r="G93" s="87" t="s">
        <v>96</v>
      </c>
      <c r="H93" s="95" t="s">
        <v>342</v>
      </c>
      <c r="I93" s="95" t="s">
        <v>510</v>
      </c>
      <c r="J93" s="96">
        <v>16254</v>
      </c>
      <c r="K93" s="85">
        <v>0</v>
      </c>
      <c r="L93" s="96">
        <f t="shared" si="7"/>
        <v>16254</v>
      </c>
      <c r="M93" s="16" t="s">
        <v>138</v>
      </c>
      <c r="N93" s="95" t="s">
        <v>531</v>
      </c>
      <c r="O93" s="116" t="s">
        <v>536</v>
      </c>
    </row>
    <row r="94" spans="1:15" s="4" customFormat="1" ht="50.25" customHeight="1">
      <c r="A94" s="138">
        <v>82</v>
      </c>
      <c r="B94" s="135" t="s">
        <v>537</v>
      </c>
      <c r="C94" s="94" t="s">
        <v>243</v>
      </c>
      <c r="D94" s="94" t="s">
        <v>538</v>
      </c>
      <c r="E94" s="92">
        <v>44739</v>
      </c>
      <c r="F94" s="83" t="s">
        <v>24</v>
      </c>
      <c r="G94" s="87" t="s">
        <v>96</v>
      </c>
      <c r="H94" s="124"/>
      <c r="I94" s="124"/>
      <c r="J94" s="96">
        <v>11362</v>
      </c>
      <c r="K94" s="85">
        <v>0</v>
      </c>
      <c r="L94" s="96">
        <f t="shared" si="7"/>
        <v>11362</v>
      </c>
      <c r="M94" s="16" t="s">
        <v>138</v>
      </c>
      <c r="N94" s="124"/>
      <c r="O94" s="116" t="s">
        <v>539</v>
      </c>
    </row>
    <row r="95" spans="1:15" s="4" customFormat="1" ht="50.25" customHeight="1">
      <c r="A95" s="138">
        <v>83</v>
      </c>
      <c r="B95" s="135" t="s">
        <v>537</v>
      </c>
      <c r="C95" s="94" t="s">
        <v>243</v>
      </c>
      <c r="D95" s="94" t="s">
        <v>540</v>
      </c>
      <c r="E95" s="92">
        <v>44739</v>
      </c>
      <c r="F95" s="83" t="s">
        <v>129</v>
      </c>
      <c r="G95" s="87" t="s">
        <v>96</v>
      </c>
      <c r="H95" s="124"/>
      <c r="I95" s="124"/>
      <c r="J95" s="96">
        <v>232650</v>
      </c>
      <c r="K95" s="85">
        <v>0</v>
      </c>
      <c r="L95" s="96">
        <f t="shared" si="7"/>
        <v>232650</v>
      </c>
      <c r="M95" s="16" t="s">
        <v>138</v>
      </c>
      <c r="N95" s="124"/>
      <c r="O95" s="116" t="s">
        <v>545</v>
      </c>
    </row>
    <row r="96" spans="1:15" s="4" customFormat="1" ht="50.25" customHeight="1">
      <c r="A96" s="138">
        <v>84</v>
      </c>
      <c r="B96" s="135" t="s">
        <v>541</v>
      </c>
      <c r="C96" s="94" t="s">
        <v>542</v>
      </c>
      <c r="D96" s="94" t="s">
        <v>543</v>
      </c>
      <c r="E96" s="92">
        <v>44746</v>
      </c>
      <c r="F96" s="83" t="s">
        <v>129</v>
      </c>
      <c r="G96" s="87" t="s">
        <v>96</v>
      </c>
      <c r="H96" s="124"/>
      <c r="I96" s="124"/>
      <c r="J96" s="96">
        <v>530000</v>
      </c>
      <c r="K96" s="85">
        <v>0</v>
      </c>
      <c r="L96" s="96">
        <f t="shared" si="7"/>
        <v>530000</v>
      </c>
      <c r="M96" s="16" t="s">
        <v>138</v>
      </c>
      <c r="N96" s="124"/>
      <c r="O96" s="116" t="s">
        <v>544</v>
      </c>
    </row>
    <row r="97" spans="1:15" s="4" customFormat="1" ht="50.25" customHeight="1">
      <c r="A97" s="138">
        <v>85</v>
      </c>
      <c r="B97" s="135" t="s">
        <v>546</v>
      </c>
      <c r="C97" s="94" t="s">
        <v>547</v>
      </c>
      <c r="D97" s="94" t="s">
        <v>201</v>
      </c>
      <c r="E97" s="92">
        <v>42709</v>
      </c>
      <c r="F97" s="83" t="s">
        <v>129</v>
      </c>
      <c r="G97" s="87" t="s">
        <v>96</v>
      </c>
      <c r="H97" s="95"/>
      <c r="I97" s="95"/>
      <c r="J97" s="96">
        <v>30849</v>
      </c>
      <c r="K97" s="96">
        <v>0</v>
      </c>
      <c r="L97" s="96">
        <f t="shared" si="7"/>
        <v>30849</v>
      </c>
      <c r="M97" s="83" t="s">
        <v>138</v>
      </c>
      <c r="N97" s="95"/>
      <c r="O97" s="116" t="s">
        <v>548</v>
      </c>
    </row>
    <row r="98" spans="1:15" s="4" customFormat="1" ht="50.25" customHeight="1">
      <c r="A98" s="138">
        <v>86</v>
      </c>
      <c r="B98" s="135" t="s">
        <v>549</v>
      </c>
      <c r="C98" s="94" t="s">
        <v>547</v>
      </c>
      <c r="D98" s="94" t="s">
        <v>193</v>
      </c>
      <c r="E98" s="92">
        <v>42709</v>
      </c>
      <c r="F98" s="83" t="s">
        <v>129</v>
      </c>
      <c r="G98" s="87" t="s">
        <v>96</v>
      </c>
      <c r="H98" s="95"/>
      <c r="I98" s="95"/>
      <c r="J98" s="96">
        <v>33829</v>
      </c>
      <c r="K98" s="96">
        <v>0</v>
      </c>
      <c r="L98" s="96">
        <f t="shared" si="7"/>
        <v>33829</v>
      </c>
      <c r="M98" s="83" t="s">
        <v>138</v>
      </c>
      <c r="N98" s="95"/>
      <c r="O98" s="116" t="s">
        <v>548</v>
      </c>
    </row>
    <row r="99" spans="1:15" s="4" customFormat="1" ht="50.25" customHeight="1">
      <c r="A99" s="138">
        <v>87</v>
      </c>
      <c r="B99" s="135" t="s">
        <v>550</v>
      </c>
      <c r="C99" s="94" t="s">
        <v>551</v>
      </c>
      <c r="D99" s="94" t="s">
        <v>552</v>
      </c>
      <c r="E99" s="92">
        <v>44181</v>
      </c>
      <c r="F99" s="83" t="s">
        <v>129</v>
      </c>
      <c r="G99" s="87" t="s">
        <v>96</v>
      </c>
      <c r="H99" s="95"/>
      <c r="I99" s="95"/>
      <c r="J99" s="96">
        <v>390348</v>
      </c>
      <c r="K99" s="96">
        <v>0</v>
      </c>
      <c r="L99" s="96">
        <f t="shared" si="7"/>
        <v>390348</v>
      </c>
      <c r="M99" s="83" t="s">
        <v>138</v>
      </c>
      <c r="N99" s="95"/>
      <c r="O99" s="116" t="s">
        <v>553</v>
      </c>
    </row>
    <row r="100" spans="1:15" s="4" customFormat="1" ht="50.25" customHeight="1">
      <c r="A100" s="138">
        <v>88</v>
      </c>
      <c r="B100" s="135" t="s">
        <v>555</v>
      </c>
      <c r="C100" s="94" t="s">
        <v>556</v>
      </c>
      <c r="D100" s="94" t="s">
        <v>557</v>
      </c>
      <c r="E100" s="92">
        <v>44524</v>
      </c>
      <c r="F100" s="83" t="s">
        <v>24</v>
      </c>
      <c r="G100" s="87" t="s">
        <v>96</v>
      </c>
      <c r="H100" s="95"/>
      <c r="I100" s="95"/>
      <c r="J100" s="96">
        <v>4417</v>
      </c>
      <c r="K100" s="96">
        <v>0</v>
      </c>
      <c r="L100" s="96">
        <f t="shared" si="7"/>
        <v>4417</v>
      </c>
      <c r="M100" s="83" t="s">
        <v>138</v>
      </c>
      <c r="N100" s="95"/>
      <c r="O100" s="116" t="s">
        <v>558</v>
      </c>
    </row>
    <row r="101" spans="1:15" s="4" customFormat="1" ht="50.25" customHeight="1">
      <c r="A101" s="138">
        <v>89</v>
      </c>
      <c r="B101" s="135" t="s">
        <v>555</v>
      </c>
      <c r="C101" s="94" t="s">
        <v>556</v>
      </c>
      <c r="D101" s="94" t="s">
        <v>485</v>
      </c>
      <c r="E101" s="92">
        <v>44553</v>
      </c>
      <c r="F101" s="83" t="s">
        <v>129</v>
      </c>
      <c r="G101" s="87" t="s">
        <v>96</v>
      </c>
      <c r="H101" s="95"/>
      <c r="I101" s="95"/>
      <c r="J101" s="96">
        <v>88340</v>
      </c>
      <c r="K101" s="96">
        <v>0</v>
      </c>
      <c r="L101" s="96">
        <f t="shared" si="7"/>
        <v>88340</v>
      </c>
      <c r="M101" s="83" t="s">
        <v>138</v>
      </c>
      <c r="N101" s="95"/>
      <c r="O101" s="116" t="s">
        <v>559</v>
      </c>
    </row>
    <row r="102" spans="1:15" s="4" customFormat="1" ht="50.25" customHeight="1">
      <c r="A102" s="138">
        <v>90</v>
      </c>
      <c r="B102" s="135" t="s">
        <v>560</v>
      </c>
      <c r="C102" s="94" t="s">
        <v>499</v>
      </c>
      <c r="D102" s="94" t="s">
        <v>561</v>
      </c>
      <c r="E102" s="92">
        <v>44609</v>
      </c>
      <c r="F102" s="83" t="s">
        <v>24</v>
      </c>
      <c r="G102" s="87" t="s">
        <v>97</v>
      </c>
      <c r="H102" s="95"/>
      <c r="I102" s="95"/>
      <c r="J102" s="96">
        <v>260256</v>
      </c>
      <c r="K102" s="96">
        <v>0</v>
      </c>
      <c r="L102" s="96">
        <f t="shared" si="7"/>
        <v>260256</v>
      </c>
      <c r="M102" s="83" t="s">
        <v>138</v>
      </c>
      <c r="N102" s="95"/>
      <c r="O102" s="116" t="s">
        <v>562</v>
      </c>
    </row>
    <row r="103" spans="1:15" s="4" customFormat="1" ht="50.25" customHeight="1">
      <c r="A103" s="138">
        <v>91</v>
      </c>
      <c r="B103" s="135" t="s">
        <v>563</v>
      </c>
      <c r="C103" s="94" t="s">
        <v>564</v>
      </c>
      <c r="D103" s="94" t="s">
        <v>281</v>
      </c>
      <c r="E103" s="92">
        <v>44645</v>
      </c>
      <c r="F103" s="83" t="s">
        <v>24</v>
      </c>
      <c r="G103" s="87" t="s">
        <v>96</v>
      </c>
      <c r="H103" s="95"/>
      <c r="I103" s="95"/>
      <c r="J103" s="96">
        <v>550</v>
      </c>
      <c r="K103" s="96">
        <v>0</v>
      </c>
      <c r="L103" s="96">
        <f t="shared" si="7"/>
        <v>550</v>
      </c>
      <c r="M103" s="83" t="s">
        <v>138</v>
      </c>
      <c r="N103" s="95"/>
      <c r="O103" s="116" t="s">
        <v>565</v>
      </c>
    </row>
    <row r="104" spans="1:15" s="4" customFormat="1" ht="50.25" customHeight="1">
      <c r="A104" s="138">
        <v>92</v>
      </c>
      <c r="B104" s="135" t="s">
        <v>563</v>
      </c>
      <c r="C104" s="94" t="s">
        <v>564</v>
      </c>
      <c r="D104" s="94" t="s">
        <v>566</v>
      </c>
      <c r="E104" s="92">
        <v>44725</v>
      </c>
      <c r="F104" s="83" t="s">
        <v>129</v>
      </c>
      <c r="G104" s="87" t="s">
        <v>96</v>
      </c>
      <c r="H104" s="95"/>
      <c r="I104" s="95"/>
      <c r="J104" s="96">
        <v>22000</v>
      </c>
      <c r="K104" s="96">
        <v>0</v>
      </c>
      <c r="L104" s="96">
        <f t="shared" si="7"/>
        <v>22000</v>
      </c>
      <c r="M104" s="83" t="s">
        <v>138</v>
      </c>
      <c r="N104" s="95"/>
      <c r="O104" s="116" t="s">
        <v>567</v>
      </c>
    </row>
    <row r="105" spans="1:15" s="4" customFormat="1" ht="50.25" customHeight="1">
      <c r="A105" s="138">
        <v>93</v>
      </c>
      <c r="B105" s="135" t="s">
        <v>568</v>
      </c>
      <c r="C105" s="94" t="s">
        <v>569</v>
      </c>
      <c r="D105" s="94" t="s">
        <v>570</v>
      </c>
      <c r="E105" s="92">
        <v>44762</v>
      </c>
      <c r="F105" s="83" t="s">
        <v>24</v>
      </c>
      <c r="G105" s="87" t="s">
        <v>97</v>
      </c>
      <c r="H105" s="95"/>
      <c r="I105" s="95"/>
      <c r="J105" s="96">
        <v>10200</v>
      </c>
      <c r="K105" s="96">
        <v>0</v>
      </c>
      <c r="L105" s="96">
        <f t="shared" si="7"/>
        <v>10200</v>
      </c>
      <c r="M105" s="83" t="s">
        <v>138</v>
      </c>
      <c r="N105" s="95"/>
      <c r="O105" s="116" t="s">
        <v>571</v>
      </c>
    </row>
    <row r="106" spans="1:15" s="4" customFormat="1" ht="50.25" customHeight="1">
      <c r="A106" s="138">
        <v>94</v>
      </c>
      <c r="B106" s="135" t="s">
        <v>575</v>
      </c>
      <c r="C106" s="94" t="s">
        <v>576</v>
      </c>
      <c r="D106" s="94" t="s">
        <v>577</v>
      </c>
      <c r="E106" s="92">
        <v>44174</v>
      </c>
      <c r="F106" s="83" t="s">
        <v>129</v>
      </c>
      <c r="G106" s="87" t="s">
        <v>96</v>
      </c>
      <c r="H106" s="95"/>
      <c r="I106" s="95"/>
      <c r="J106" s="96">
        <v>74323</v>
      </c>
      <c r="K106" s="96">
        <v>0</v>
      </c>
      <c r="L106" s="96">
        <f t="shared" si="7"/>
        <v>74323</v>
      </c>
      <c r="M106" s="83" t="s">
        <v>138</v>
      </c>
      <c r="N106" s="95"/>
      <c r="O106" s="116" t="s">
        <v>578</v>
      </c>
    </row>
    <row r="107" spans="1:15" s="4" customFormat="1" ht="50.25" customHeight="1">
      <c r="A107" s="138">
        <v>95</v>
      </c>
      <c r="B107" s="135" t="s">
        <v>579</v>
      </c>
      <c r="C107" s="94" t="s">
        <v>580</v>
      </c>
      <c r="D107" s="94" t="s">
        <v>236</v>
      </c>
      <c r="E107" s="92">
        <v>44137</v>
      </c>
      <c r="F107" s="83" t="s">
        <v>24</v>
      </c>
      <c r="G107" s="87" t="s">
        <v>96</v>
      </c>
      <c r="H107" s="95"/>
      <c r="I107" s="95"/>
      <c r="J107" s="96">
        <v>1500</v>
      </c>
      <c r="K107" s="96">
        <v>0</v>
      </c>
      <c r="L107" s="96">
        <f t="shared" si="7"/>
        <v>1500</v>
      </c>
      <c r="M107" s="83" t="s">
        <v>138</v>
      </c>
      <c r="N107" s="95"/>
      <c r="O107" s="116" t="s">
        <v>581</v>
      </c>
    </row>
    <row r="108" spans="1:15" s="4" customFormat="1" ht="50.25" customHeight="1">
      <c r="A108" s="138">
        <v>96</v>
      </c>
      <c r="B108" s="135" t="s">
        <v>579</v>
      </c>
      <c r="C108" s="94" t="s">
        <v>580</v>
      </c>
      <c r="D108" s="94" t="s">
        <v>582</v>
      </c>
      <c r="E108" s="92">
        <v>44154</v>
      </c>
      <c r="F108" s="83" t="s">
        <v>129</v>
      </c>
      <c r="G108" s="87" t="s">
        <v>96</v>
      </c>
      <c r="H108" s="95"/>
      <c r="I108" s="95"/>
      <c r="J108" s="96">
        <v>60000</v>
      </c>
      <c r="K108" s="96">
        <v>0</v>
      </c>
      <c r="L108" s="96">
        <f t="shared" si="7"/>
        <v>60000</v>
      </c>
      <c r="M108" s="83" t="s">
        <v>138</v>
      </c>
      <c r="N108" s="95"/>
      <c r="O108" s="116" t="s">
        <v>583</v>
      </c>
    </row>
    <row r="109" spans="1:15" s="4" customFormat="1" ht="50.25" customHeight="1">
      <c r="A109" s="138">
        <v>97</v>
      </c>
      <c r="B109" s="135" t="s">
        <v>584</v>
      </c>
      <c r="C109" s="94" t="s">
        <v>585</v>
      </c>
      <c r="D109" s="94" t="s">
        <v>586</v>
      </c>
      <c r="E109" s="92">
        <v>44908</v>
      </c>
      <c r="F109" s="83" t="s">
        <v>129</v>
      </c>
      <c r="G109" s="87" t="s">
        <v>96</v>
      </c>
      <c r="H109" s="95" t="s">
        <v>188</v>
      </c>
      <c r="I109" s="95" t="s">
        <v>587</v>
      </c>
      <c r="J109" s="96">
        <v>2072088</v>
      </c>
      <c r="K109" s="96">
        <v>0</v>
      </c>
      <c r="L109" s="96">
        <f t="shared" si="7"/>
        <v>2072088</v>
      </c>
      <c r="M109" s="83" t="s">
        <v>138</v>
      </c>
      <c r="N109" s="95"/>
      <c r="O109" s="116" t="s">
        <v>589</v>
      </c>
    </row>
    <row r="110" spans="1:15" s="4" customFormat="1" ht="50.25" customHeight="1">
      <c r="A110" s="138">
        <v>98</v>
      </c>
      <c r="B110" s="135" t="s">
        <v>584</v>
      </c>
      <c r="C110" s="94" t="s">
        <v>585</v>
      </c>
      <c r="D110" s="94" t="s">
        <v>308</v>
      </c>
      <c r="E110" s="92">
        <v>44903</v>
      </c>
      <c r="F110" s="83" t="s">
        <v>24</v>
      </c>
      <c r="G110" s="87" t="s">
        <v>96</v>
      </c>
      <c r="H110" s="95" t="s">
        <v>155</v>
      </c>
      <c r="I110" s="95" t="s">
        <v>587</v>
      </c>
      <c r="J110" s="96">
        <v>73291</v>
      </c>
      <c r="K110" s="96">
        <v>0</v>
      </c>
      <c r="L110" s="96">
        <f t="shared" si="7"/>
        <v>73291</v>
      </c>
      <c r="M110" s="83" t="s">
        <v>138</v>
      </c>
      <c r="N110" s="95"/>
      <c r="O110" s="116" t="s">
        <v>588</v>
      </c>
    </row>
    <row r="111" spans="1:15" s="4" customFormat="1" ht="50.25" customHeight="1">
      <c r="A111" s="138">
        <v>99</v>
      </c>
      <c r="B111" s="135" t="s">
        <v>593</v>
      </c>
      <c r="C111" s="94" t="s">
        <v>594</v>
      </c>
      <c r="D111" s="94" t="s">
        <v>221</v>
      </c>
      <c r="E111" s="92">
        <v>44838</v>
      </c>
      <c r="F111" s="83" t="s">
        <v>129</v>
      </c>
      <c r="G111" s="87" t="s">
        <v>96</v>
      </c>
      <c r="H111" s="95" t="s">
        <v>342</v>
      </c>
      <c r="I111" s="95" t="s">
        <v>595</v>
      </c>
      <c r="J111" s="96">
        <v>211700</v>
      </c>
      <c r="K111" s="96">
        <v>0</v>
      </c>
      <c r="L111" s="96">
        <f t="shared" si="7"/>
        <v>211700</v>
      </c>
      <c r="M111" s="83" t="s">
        <v>138</v>
      </c>
      <c r="N111" s="95" t="s">
        <v>595</v>
      </c>
      <c r="O111" s="116" t="s">
        <v>596</v>
      </c>
    </row>
    <row r="112" spans="1:15" s="4" customFormat="1" ht="50.25" customHeight="1">
      <c r="A112" s="138">
        <v>100</v>
      </c>
      <c r="B112" s="135" t="s">
        <v>597</v>
      </c>
      <c r="C112" s="94" t="s">
        <v>598</v>
      </c>
      <c r="D112" s="94" t="s">
        <v>599</v>
      </c>
      <c r="E112" s="92">
        <v>44970</v>
      </c>
      <c r="F112" s="83" t="s">
        <v>129</v>
      </c>
      <c r="G112" s="87" t="s">
        <v>96</v>
      </c>
      <c r="H112" s="95" t="s">
        <v>237</v>
      </c>
      <c r="I112" s="95" t="s">
        <v>600</v>
      </c>
      <c r="J112" s="96">
        <v>80500</v>
      </c>
      <c r="K112" s="96">
        <v>30000</v>
      </c>
      <c r="L112" s="96">
        <f t="shared" si="7"/>
        <v>50500</v>
      </c>
      <c r="M112" s="83" t="s">
        <v>138</v>
      </c>
      <c r="N112" s="95" t="s">
        <v>601</v>
      </c>
      <c r="O112" s="116" t="s">
        <v>602</v>
      </c>
    </row>
    <row r="113" spans="1:15" s="4" customFormat="1" ht="50.25" customHeight="1">
      <c r="A113" s="138">
        <v>101</v>
      </c>
      <c r="B113" s="135" t="s">
        <v>603</v>
      </c>
      <c r="C113" s="94" t="s">
        <v>604</v>
      </c>
      <c r="D113" s="94" t="s">
        <v>605</v>
      </c>
      <c r="E113" s="92">
        <v>44484</v>
      </c>
      <c r="F113" s="83" t="s">
        <v>24</v>
      </c>
      <c r="G113" s="87" t="s">
        <v>96</v>
      </c>
      <c r="H113" s="95" t="s">
        <v>162</v>
      </c>
      <c r="I113" s="95" t="s">
        <v>606</v>
      </c>
      <c r="J113" s="96">
        <v>6889</v>
      </c>
      <c r="K113" s="96">
        <v>0</v>
      </c>
      <c r="L113" s="96">
        <f t="shared" si="7"/>
        <v>6889</v>
      </c>
      <c r="M113" s="83" t="s">
        <v>138</v>
      </c>
      <c r="N113" s="95" t="s">
        <v>606</v>
      </c>
      <c r="O113" s="116" t="s">
        <v>607</v>
      </c>
    </row>
    <row r="114" spans="1:15" s="4" customFormat="1" ht="50.25" customHeight="1">
      <c r="A114" s="138">
        <v>102</v>
      </c>
      <c r="B114" s="135" t="s">
        <v>608</v>
      </c>
      <c r="C114" s="94" t="s">
        <v>609</v>
      </c>
      <c r="D114" s="94" t="s">
        <v>159</v>
      </c>
      <c r="E114" s="92">
        <v>44838</v>
      </c>
      <c r="F114" s="83" t="s">
        <v>24</v>
      </c>
      <c r="G114" s="87" t="s">
        <v>96</v>
      </c>
      <c r="H114" s="95" t="s">
        <v>197</v>
      </c>
      <c r="I114" s="95" t="s">
        <v>606</v>
      </c>
      <c r="J114" s="96">
        <v>35649</v>
      </c>
      <c r="K114" s="96">
        <v>0</v>
      </c>
      <c r="L114" s="96">
        <f t="shared" si="7"/>
        <v>35649</v>
      </c>
      <c r="M114" s="83" t="s">
        <v>138</v>
      </c>
      <c r="N114" s="95" t="s">
        <v>606</v>
      </c>
      <c r="O114" s="116" t="s">
        <v>610</v>
      </c>
    </row>
    <row r="115" spans="1:15" s="4" customFormat="1" ht="50.25" customHeight="1">
      <c r="A115" s="138">
        <v>103</v>
      </c>
      <c r="B115" s="135" t="s">
        <v>608</v>
      </c>
      <c r="C115" s="94" t="s">
        <v>609</v>
      </c>
      <c r="D115" s="94" t="s">
        <v>177</v>
      </c>
      <c r="E115" s="92">
        <v>44859</v>
      </c>
      <c r="F115" s="83" t="s">
        <v>129</v>
      </c>
      <c r="G115" s="87" t="s">
        <v>96</v>
      </c>
      <c r="H115" s="95" t="s">
        <v>123</v>
      </c>
      <c r="I115" s="95" t="s">
        <v>606</v>
      </c>
      <c r="J115" s="96">
        <v>712988</v>
      </c>
      <c r="K115" s="96">
        <v>0</v>
      </c>
      <c r="L115" s="96">
        <f t="shared" si="7"/>
        <v>712988</v>
      </c>
      <c r="M115" s="83" t="s">
        <v>138</v>
      </c>
      <c r="N115" s="95" t="s">
        <v>606</v>
      </c>
      <c r="O115" s="116" t="s">
        <v>611</v>
      </c>
    </row>
    <row r="116" spans="1:15" s="4" customFormat="1" ht="50.25" customHeight="1">
      <c r="A116" s="138">
        <v>104</v>
      </c>
      <c r="B116" s="135" t="s">
        <v>614</v>
      </c>
      <c r="C116" s="94" t="s">
        <v>613</v>
      </c>
      <c r="D116" s="94" t="s">
        <v>347</v>
      </c>
      <c r="E116" s="92">
        <v>45012</v>
      </c>
      <c r="F116" s="83" t="s">
        <v>129</v>
      </c>
      <c r="G116" s="87" t="s">
        <v>96</v>
      </c>
      <c r="H116" s="95" t="s">
        <v>174</v>
      </c>
      <c r="I116" s="95" t="s">
        <v>615</v>
      </c>
      <c r="J116" s="96">
        <v>50000</v>
      </c>
      <c r="K116" s="96">
        <v>0</v>
      </c>
      <c r="L116" s="96">
        <f t="shared" si="7"/>
        <v>50000</v>
      </c>
      <c r="M116" s="83" t="s">
        <v>138</v>
      </c>
      <c r="N116" s="95" t="s">
        <v>615</v>
      </c>
      <c r="O116" s="116" t="s">
        <v>616</v>
      </c>
    </row>
    <row r="117" spans="1:15" s="4" customFormat="1" ht="50.25" customHeight="1">
      <c r="A117" s="138">
        <v>105</v>
      </c>
      <c r="B117" s="135" t="s">
        <v>614</v>
      </c>
      <c r="C117" s="94" t="s">
        <v>613</v>
      </c>
      <c r="D117" s="94" t="s">
        <v>617</v>
      </c>
      <c r="E117" s="92">
        <v>45015</v>
      </c>
      <c r="F117" s="83" t="s">
        <v>24</v>
      </c>
      <c r="G117" s="87" t="s">
        <v>96</v>
      </c>
      <c r="H117" s="95" t="s">
        <v>194</v>
      </c>
      <c r="I117" s="95" t="s">
        <v>615</v>
      </c>
      <c r="J117" s="96">
        <v>1250</v>
      </c>
      <c r="K117" s="96">
        <v>0</v>
      </c>
      <c r="L117" s="96">
        <f t="shared" si="7"/>
        <v>1250</v>
      </c>
      <c r="M117" s="83" t="s">
        <v>138</v>
      </c>
      <c r="N117" s="95" t="s">
        <v>615</v>
      </c>
      <c r="O117" s="116" t="s">
        <v>618</v>
      </c>
    </row>
    <row r="118" spans="1:15" s="4" customFormat="1" ht="50.25" customHeight="1">
      <c r="A118" s="138">
        <v>106</v>
      </c>
      <c r="B118" s="135" t="s">
        <v>620</v>
      </c>
      <c r="C118" s="94" t="s">
        <v>619</v>
      </c>
      <c r="D118" s="94" t="s">
        <v>577</v>
      </c>
      <c r="E118" s="92">
        <v>44985</v>
      </c>
      <c r="F118" s="83" t="s">
        <v>129</v>
      </c>
      <c r="G118" s="87" t="s">
        <v>96</v>
      </c>
      <c r="H118" s="95" t="s">
        <v>189</v>
      </c>
      <c r="I118" s="95" t="s">
        <v>615</v>
      </c>
      <c r="J118" s="96">
        <v>207512</v>
      </c>
      <c r="K118" s="96">
        <v>0</v>
      </c>
      <c r="L118" s="96">
        <f t="shared" si="7"/>
        <v>207512</v>
      </c>
      <c r="M118" s="83" t="s">
        <v>138</v>
      </c>
      <c r="N118" s="95" t="s">
        <v>615</v>
      </c>
      <c r="O118" s="116" t="s">
        <v>621</v>
      </c>
    </row>
    <row r="119" spans="1:15" s="4" customFormat="1" ht="50.25" customHeight="1">
      <c r="A119" s="138">
        <v>107</v>
      </c>
      <c r="B119" s="135" t="s">
        <v>623</v>
      </c>
      <c r="C119" s="94" t="s">
        <v>624</v>
      </c>
      <c r="D119" s="94" t="s">
        <v>622</v>
      </c>
      <c r="E119" s="92">
        <v>45012</v>
      </c>
      <c r="F119" s="83" t="s">
        <v>129</v>
      </c>
      <c r="G119" s="87" t="s">
        <v>96</v>
      </c>
      <c r="H119" s="95" t="s">
        <v>199</v>
      </c>
      <c r="I119" s="95" t="s">
        <v>625</v>
      </c>
      <c r="J119" s="96">
        <v>47500</v>
      </c>
      <c r="K119" s="96">
        <v>0</v>
      </c>
      <c r="L119" s="96">
        <f t="shared" si="7"/>
        <v>47500</v>
      </c>
      <c r="M119" s="83" t="s">
        <v>138</v>
      </c>
      <c r="N119" s="95" t="s">
        <v>626</v>
      </c>
      <c r="O119" s="116" t="s">
        <v>627</v>
      </c>
    </row>
    <row r="120" spans="1:15" s="4" customFormat="1" ht="50.25" customHeight="1">
      <c r="A120" s="138">
        <v>108</v>
      </c>
      <c r="B120" s="135" t="s">
        <v>628</v>
      </c>
      <c r="C120" s="94" t="s">
        <v>629</v>
      </c>
      <c r="D120" s="94" t="s">
        <v>630</v>
      </c>
      <c r="E120" s="92">
        <v>44935</v>
      </c>
      <c r="F120" s="83" t="s">
        <v>24</v>
      </c>
      <c r="G120" s="87" t="s">
        <v>97</v>
      </c>
      <c r="H120" s="95" t="s">
        <v>171</v>
      </c>
      <c r="I120" s="95" t="s">
        <v>625</v>
      </c>
      <c r="J120" s="96">
        <v>10200</v>
      </c>
      <c r="K120" s="96">
        <v>0</v>
      </c>
      <c r="L120" s="96">
        <f t="shared" si="7"/>
        <v>10200</v>
      </c>
      <c r="M120" s="83" t="s">
        <v>138</v>
      </c>
      <c r="N120" s="95" t="s">
        <v>626</v>
      </c>
      <c r="O120" s="116" t="s">
        <v>631</v>
      </c>
    </row>
    <row r="121" spans="1:15" s="4" customFormat="1" ht="50.25" customHeight="1">
      <c r="A121" s="138">
        <v>109</v>
      </c>
      <c r="B121" s="135" t="s">
        <v>632</v>
      </c>
      <c r="C121" s="94" t="s">
        <v>633</v>
      </c>
      <c r="D121" s="94" t="s">
        <v>634</v>
      </c>
      <c r="E121" s="92">
        <v>44960</v>
      </c>
      <c r="F121" s="83" t="s">
        <v>129</v>
      </c>
      <c r="G121" s="87" t="s">
        <v>99</v>
      </c>
      <c r="H121" s="95" t="s">
        <v>206</v>
      </c>
      <c r="I121" s="95" t="s">
        <v>625</v>
      </c>
      <c r="J121" s="96">
        <v>30000</v>
      </c>
      <c r="K121" s="96">
        <v>0</v>
      </c>
      <c r="L121" s="96">
        <f t="shared" si="7"/>
        <v>30000</v>
      </c>
      <c r="M121" s="83" t="s">
        <v>138</v>
      </c>
      <c r="N121" s="95" t="s">
        <v>626</v>
      </c>
      <c r="O121" s="116" t="s">
        <v>635</v>
      </c>
    </row>
    <row r="122" spans="1:15" s="4" customFormat="1" ht="50.25" customHeight="1">
      <c r="A122" s="138">
        <v>110</v>
      </c>
      <c r="B122" s="135" t="s">
        <v>636</v>
      </c>
      <c r="C122" s="94" t="s">
        <v>637</v>
      </c>
      <c r="D122" s="94" t="s">
        <v>638</v>
      </c>
      <c r="E122" s="92">
        <v>43802</v>
      </c>
      <c r="F122" s="83" t="s">
        <v>129</v>
      </c>
      <c r="G122" s="87" t="s">
        <v>96</v>
      </c>
      <c r="H122" s="95" t="s">
        <v>639</v>
      </c>
      <c r="I122" s="95" t="s">
        <v>625</v>
      </c>
      <c r="J122" s="96">
        <v>24500</v>
      </c>
      <c r="K122" s="96">
        <v>0</v>
      </c>
      <c r="L122" s="96">
        <f t="shared" si="7"/>
        <v>24500</v>
      </c>
      <c r="M122" s="83" t="s">
        <v>138</v>
      </c>
      <c r="N122" s="95" t="s">
        <v>626</v>
      </c>
      <c r="O122" s="116" t="s">
        <v>640</v>
      </c>
    </row>
    <row r="123" spans="1:15" s="4" customFormat="1" ht="50.25" customHeight="1">
      <c r="A123" s="138">
        <v>111</v>
      </c>
      <c r="B123" s="135" t="s">
        <v>641</v>
      </c>
      <c r="C123" s="94" t="s">
        <v>642</v>
      </c>
      <c r="D123" s="94" t="s">
        <v>643</v>
      </c>
      <c r="E123" s="92">
        <v>45020</v>
      </c>
      <c r="F123" s="83" t="s">
        <v>24</v>
      </c>
      <c r="G123" s="87" t="s">
        <v>97</v>
      </c>
      <c r="H123" s="95" t="s">
        <v>213</v>
      </c>
      <c r="I123" s="95" t="s">
        <v>644</v>
      </c>
      <c r="J123" s="96">
        <v>500</v>
      </c>
      <c r="K123" s="96">
        <v>0</v>
      </c>
      <c r="L123" s="96">
        <f t="shared" si="7"/>
        <v>500</v>
      </c>
      <c r="M123" s="83" t="s">
        <v>138</v>
      </c>
      <c r="N123" s="95" t="s">
        <v>645</v>
      </c>
      <c r="O123" s="116" t="s">
        <v>646</v>
      </c>
    </row>
    <row r="124" spans="1:15" s="4" customFormat="1" ht="50.25" customHeight="1">
      <c r="A124" s="138">
        <v>112</v>
      </c>
      <c r="B124" s="135" t="s">
        <v>647</v>
      </c>
      <c r="C124" s="94" t="s">
        <v>497</v>
      </c>
      <c r="D124" s="94" t="s">
        <v>648</v>
      </c>
      <c r="E124" s="92">
        <v>44960</v>
      </c>
      <c r="F124" s="83" t="s">
        <v>129</v>
      </c>
      <c r="G124" s="87" t="s">
        <v>97</v>
      </c>
      <c r="H124" s="95" t="s">
        <v>158</v>
      </c>
      <c r="I124" s="95" t="s">
        <v>644</v>
      </c>
      <c r="J124" s="96">
        <v>5450</v>
      </c>
      <c r="K124" s="96">
        <v>0</v>
      </c>
      <c r="L124" s="96">
        <f t="shared" si="7"/>
        <v>5450</v>
      </c>
      <c r="M124" s="83" t="s">
        <v>138</v>
      </c>
      <c r="N124" s="95" t="s">
        <v>645</v>
      </c>
      <c r="O124" s="116" t="s">
        <v>649</v>
      </c>
    </row>
    <row r="125" spans="1:15" s="4" customFormat="1" ht="50.25" customHeight="1">
      <c r="A125" s="138">
        <v>113</v>
      </c>
      <c r="B125" s="135" t="s">
        <v>652</v>
      </c>
      <c r="C125" s="94" t="s">
        <v>653</v>
      </c>
      <c r="D125" s="94" t="s">
        <v>654</v>
      </c>
      <c r="E125" s="92">
        <v>45012</v>
      </c>
      <c r="F125" s="83" t="s">
        <v>24</v>
      </c>
      <c r="G125" s="87" t="s">
        <v>97</v>
      </c>
      <c r="H125" s="95" t="s">
        <v>218</v>
      </c>
      <c r="I125" s="95" t="s">
        <v>655</v>
      </c>
      <c r="J125" s="96">
        <v>3400</v>
      </c>
      <c r="K125" s="96">
        <v>0</v>
      </c>
      <c r="L125" s="96">
        <f t="shared" si="7"/>
        <v>3400</v>
      </c>
      <c r="M125" s="83" t="s">
        <v>138</v>
      </c>
      <c r="N125" s="95" t="s">
        <v>656</v>
      </c>
      <c r="O125" s="116" t="s">
        <v>657</v>
      </c>
    </row>
    <row r="126" spans="1:15" s="4" customFormat="1" ht="50.25" customHeight="1">
      <c r="A126" s="138">
        <v>114</v>
      </c>
      <c r="B126" s="135" t="s">
        <v>658</v>
      </c>
      <c r="C126" s="94" t="s">
        <v>659</v>
      </c>
      <c r="D126" s="94" t="s">
        <v>660</v>
      </c>
      <c r="E126" s="92">
        <v>45012</v>
      </c>
      <c r="F126" s="83" t="s">
        <v>129</v>
      </c>
      <c r="G126" s="87" t="s">
        <v>96</v>
      </c>
      <c r="H126" s="95" t="s">
        <v>221</v>
      </c>
      <c r="I126" s="95" t="s">
        <v>655</v>
      </c>
      <c r="J126" s="96">
        <f>1000+1000000</f>
        <v>1001000</v>
      </c>
      <c r="K126" s="96">
        <v>0</v>
      </c>
      <c r="L126" s="96">
        <f t="shared" si="7"/>
        <v>1001000</v>
      </c>
      <c r="M126" s="83" t="s">
        <v>138</v>
      </c>
      <c r="N126" s="95" t="s">
        <v>661</v>
      </c>
      <c r="O126" s="122" t="s">
        <v>735</v>
      </c>
    </row>
    <row r="127" spans="1:15" s="4" customFormat="1" ht="81" customHeight="1">
      <c r="A127" s="138">
        <v>115</v>
      </c>
      <c r="B127" s="135" t="s">
        <v>662</v>
      </c>
      <c r="C127" s="94" t="s">
        <v>663</v>
      </c>
      <c r="D127" s="94" t="s">
        <v>664</v>
      </c>
      <c r="E127" s="92">
        <v>44921</v>
      </c>
      <c r="F127" s="83" t="s">
        <v>129</v>
      </c>
      <c r="G127" s="87" t="s">
        <v>96</v>
      </c>
      <c r="H127" s="95" t="s">
        <v>216</v>
      </c>
      <c r="I127" s="95" t="s">
        <v>655</v>
      </c>
      <c r="J127" s="96">
        <f>23000+300000</f>
        <v>323000</v>
      </c>
      <c r="K127" s="96">
        <v>0</v>
      </c>
      <c r="L127" s="96">
        <f t="shared" si="7"/>
        <v>323000</v>
      </c>
      <c r="M127" s="83" t="s">
        <v>138</v>
      </c>
      <c r="N127" s="95" t="s">
        <v>661</v>
      </c>
      <c r="O127" s="122" t="s">
        <v>711</v>
      </c>
    </row>
    <row r="128" spans="1:15" s="4" customFormat="1" ht="54.75" customHeight="1">
      <c r="A128" s="138">
        <v>116</v>
      </c>
      <c r="B128" s="135" t="s">
        <v>665</v>
      </c>
      <c r="C128" s="94" t="s">
        <v>295</v>
      </c>
      <c r="D128" s="94" t="s">
        <v>666</v>
      </c>
      <c r="E128" s="92">
        <v>45085</v>
      </c>
      <c r="F128" s="83" t="s">
        <v>129</v>
      </c>
      <c r="G128" s="87" t="s">
        <v>96</v>
      </c>
      <c r="H128" s="95" t="s">
        <v>699</v>
      </c>
      <c r="I128" s="95" t="s">
        <v>696</v>
      </c>
      <c r="J128" s="96">
        <f>73000+3000000</f>
        <v>3073000</v>
      </c>
      <c r="K128" s="96">
        <v>0</v>
      </c>
      <c r="L128" s="96">
        <f t="shared" si="7"/>
        <v>3073000</v>
      </c>
      <c r="M128" s="83" t="s">
        <v>138</v>
      </c>
      <c r="N128" s="95" t="s">
        <v>697</v>
      </c>
      <c r="O128" s="122" t="s">
        <v>693</v>
      </c>
    </row>
    <row r="129" spans="1:15" s="4" customFormat="1" ht="50.25" customHeight="1">
      <c r="A129" s="138">
        <v>117</v>
      </c>
      <c r="B129" s="135" t="s">
        <v>665</v>
      </c>
      <c r="C129" s="94" t="s">
        <v>295</v>
      </c>
      <c r="D129" s="94" t="s">
        <v>667</v>
      </c>
      <c r="E129" s="92">
        <v>45071</v>
      </c>
      <c r="F129" s="83" t="s">
        <v>24</v>
      </c>
      <c r="G129" s="87" t="s">
        <v>96</v>
      </c>
      <c r="H129" s="95" t="s">
        <v>167</v>
      </c>
      <c r="I129" s="95" t="s">
        <v>696</v>
      </c>
      <c r="J129" s="96">
        <v>1825</v>
      </c>
      <c r="K129" s="96">
        <v>0</v>
      </c>
      <c r="L129" s="96">
        <f t="shared" si="7"/>
        <v>1825</v>
      </c>
      <c r="M129" s="83" t="s">
        <v>138</v>
      </c>
      <c r="N129" s="95" t="s">
        <v>697</v>
      </c>
      <c r="O129" s="116" t="s">
        <v>668</v>
      </c>
    </row>
    <row r="130" spans="1:15" s="4" customFormat="1" ht="50.25" customHeight="1">
      <c r="A130" s="138">
        <v>118</v>
      </c>
      <c r="B130" s="135" t="s">
        <v>669</v>
      </c>
      <c r="C130" s="94" t="s">
        <v>670</v>
      </c>
      <c r="D130" s="94" t="s">
        <v>500</v>
      </c>
      <c r="E130" s="92">
        <v>44999</v>
      </c>
      <c r="F130" s="83" t="s">
        <v>129</v>
      </c>
      <c r="G130" s="87" t="s">
        <v>96</v>
      </c>
      <c r="H130" s="95" t="s">
        <v>165</v>
      </c>
      <c r="I130" s="95" t="s">
        <v>696</v>
      </c>
      <c r="J130" s="96">
        <v>22500</v>
      </c>
      <c r="K130" s="96">
        <v>0</v>
      </c>
      <c r="L130" s="96">
        <f t="shared" si="7"/>
        <v>22500</v>
      </c>
      <c r="M130" s="83" t="s">
        <v>138</v>
      </c>
      <c r="N130" s="95" t="s">
        <v>697</v>
      </c>
      <c r="O130" s="116" t="s">
        <v>671</v>
      </c>
    </row>
    <row r="131" spans="1:15" s="4" customFormat="1" ht="50.25" customHeight="1">
      <c r="A131" s="138">
        <v>119</v>
      </c>
      <c r="B131" s="135" t="s">
        <v>681</v>
      </c>
      <c r="C131" s="94" t="s">
        <v>682</v>
      </c>
      <c r="D131" s="94" t="s">
        <v>519</v>
      </c>
      <c r="E131" s="92">
        <v>44972</v>
      </c>
      <c r="F131" s="83" t="s">
        <v>24</v>
      </c>
      <c r="G131" s="87" t="s">
        <v>97</v>
      </c>
      <c r="H131" s="95" t="s">
        <v>178</v>
      </c>
      <c r="I131" s="95" t="s">
        <v>696</v>
      </c>
      <c r="J131" s="96">
        <v>3000</v>
      </c>
      <c r="K131" s="96">
        <v>0</v>
      </c>
      <c r="L131" s="96">
        <f t="shared" si="7"/>
        <v>3000</v>
      </c>
      <c r="M131" s="83" t="s">
        <v>138</v>
      </c>
      <c r="N131" s="95" t="s">
        <v>697</v>
      </c>
      <c r="O131" s="116" t="s">
        <v>683</v>
      </c>
    </row>
    <row r="132" spans="1:15" s="4" customFormat="1" ht="50.25" customHeight="1">
      <c r="A132" s="138">
        <v>120</v>
      </c>
      <c r="B132" s="135" t="s">
        <v>684</v>
      </c>
      <c r="C132" s="94" t="s">
        <v>685</v>
      </c>
      <c r="D132" s="94" t="s">
        <v>234</v>
      </c>
      <c r="E132" s="92">
        <v>44484</v>
      </c>
      <c r="F132" s="83" t="s">
        <v>129</v>
      </c>
      <c r="G132" s="87" t="s">
        <v>96</v>
      </c>
      <c r="H132" s="95" t="s">
        <v>698</v>
      </c>
      <c r="I132" s="95" t="s">
        <v>696</v>
      </c>
      <c r="J132" s="96">
        <f>11145+100000+500000+150000</f>
        <v>761145</v>
      </c>
      <c r="K132" s="96">
        <v>0</v>
      </c>
      <c r="L132" s="96">
        <f t="shared" si="7"/>
        <v>761145</v>
      </c>
      <c r="M132" s="83" t="s">
        <v>138</v>
      </c>
      <c r="N132" s="95" t="s">
        <v>697</v>
      </c>
      <c r="O132" s="122" t="s">
        <v>692</v>
      </c>
    </row>
    <row r="133" spans="1:15" s="4" customFormat="1" ht="68.25" customHeight="1">
      <c r="A133" s="138">
        <v>121</v>
      </c>
      <c r="B133" s="135" t="s">
        <v>686</v>
      </c>
      <c r="C133" s="94" t="s">
        <v>685</v>
      </c>
      <c r="D133" s="94" t="s">
        <v>687</v>
      </c>
      <c r="E133" s="92">
        <v>44484</v>
      </c>
      <c r="F133" s="83" t="s">
        <v>129</v>
      </c>
      <c r="G133" s="87" t="s">
        <v>96</v>
      </c>
      <c r="H133" s="95" t="s">
        <v>166</v>
      </c>
      <c r="I133" s="95" t="s">
        <v>696</v>
      </c>
      <c r="J133" s="96">
        <f>9129+2000000</f>
        <v>2009129</v>
      </c>
      <c r="K133" s="96">
        <v>0</v>
      </c>
      <c r="L133" s="96">
        <f t="shared" si="7"/>
        <v>2009129</v>
      </c>
      <c r="M133" s="83" t="s">
        <v>138</v>
      </c>
      <c r="N133" s="95" t="s">
        <v>697</v>
      </c>
      <c r="O133" s="122" t="s">
        <v>691</v>
      </c>
    </row>
    <row r="134" spans="1:15" s="4" customFormat="1" ht="50.25" customHeight="1">
      <c r="A134" s="138">
        <v>122</v>
      </c>
      <c r="B134" s="135" t="s">
        <v>688</v>
      </c>
      <c r="C134" s="94" t="s">
        <v>689</v>
      </c>
      <c r="D134" s="94" t="s">
        <v>224</v>
      </c>
      <c r="E134" s="92">
        <v>45085</v>
      </c>
      <c r="F134" s="83" t="s">
        <v>24</v>
      </c>
      <c r="G134" s="87" t="s">
        <v>96</v>
      </c>
      <c r="H134" s="95" t="s">
        <v>220</v>
      </c>
      <c r="I134" s="95" t="s">
        <v>696</v>
      </c>
      <c r="J134" s="96">
        <v>21750</v>
      </c>
      <c r="K134" s="96">
        <v>0</v>
      </c>
      <c r="L134" s="96">
        <f t="shared" si="7"/>
        <v>21750</v>
      </c>
      <c r="M134" s="83" t="s">
        <v>138</v>
      </c>
      <c r="N134" s="95" t="s">
        <v>697</v>
      </c>
      <c r="O134" s="116" t="s">
        <v>690</v>
      </c>
    </row>
    <row r="135" spans="1:15" s="4" customFormat="1" ht="50.25" customHeight="1">
      <c r="A135" s="138">
        <v>123</v>
      </c>
      <c r="B135" s="135" t="s">
        <v>700</v>
      </c>
      <c r="C135" s="94" t="s">
        <v>701</v>
      </c>
      <c r="D135" s="94" t="s">
        <v>702</v>
      </c>
      <c r="E135" s="92">
        <v>45113</v>
      </c>
      <c r="F135" s="83" t="s">
        <v>24</v>
      </c>
      <c r="G135" s="87" t="s">
        <v>97</v>
      </c>
      <c r="H135" s="95" t="s">
        <v>185</v>
      </c>
      <c r="I135" s="95" t="s">
        <v>703</v>
      </c>
      <c r="J135" s="96">
        <v>9000</v>
      </c>
      <c r="K135" s="96">
        <v>0</v>
      </c>
      <c r="L135" s="96">
        <f t="shared" si="7"/>
        <v>9000</v>
      </c>
      <c r="M135" s="83" t="s">
        <v>138</v>
      </c>
      <c r="N135" s="95" t="s">
        <v>704</v>
      </c>
      <c r="O135" s="116" t="s">
        <v>705</v>
      </c>
    </row>
    <row r="136" spans="1:15" s="4" customFormat="1" ht="50.25" customHeight="1">
      <c r="A136" s="138">
        <v>124</v>
      </c>
      <c r="B136" s="135" t="s">
        <v>706</v>
      </c>
      <c r="C136" s="94" t="s">
        <v>707</v>
      </c>
      <c r="D136" s="94" t="s">
        <v>708</v>
      </c>
      <c r="E136" s="92">
        <v>45098</v>
      </c>
      <c r="F136" s="83" t="s">
        <v>24</v>
      </c>
      <c r="G136" s="87" t="s">
        <v>96</v>
      </c>
      <c r="H136" s="95" t="s">
        <v>709</v>
      </c>
      <c r="I136" s="95" t="s">
        <v>703</v>
      </c>
      <c r="J136" s="96">
        <v>20893</v>
      </c>
      <c r="K136" s="96">
        <v>0</v>
      </c>
      <c r="L136" s="96">
        <f t="shared" si="7"/>
        <v>20893</v>
      </c>
      <c r="M136" s="83" t="s">
        <v>138</v>
      </c>
      <c r="N136" s="95" t="s">
        <v>704</v>
      </c>
      <c r="O136" s="116" t="s">
        <v>710</v>
      </c>
    </row>
    <row r="137" spans="1:15" s="4" customFormat="1" ht="50.25" customHeight="1">
      <c r="A137" s="138">
        <v>125</v>
      </c>
      <c r="B137" s="135" t="s">
        <v>681</v>
      </c>
      <c r="C137" s="94" t="s">
        <v>712</v>
      </c>
      <c r="D137" s="94" t="s">
        <v>713</v>
      </c>
      <c r="E137" s="92">
        <v>44972</v>
      </c>
      <c r="F137" s="83" t="s">
        <v>24</v>
      </c>
      <c r="G137" s="87" t="s">
        <v>97</v>
      </c>
      <c r="H137" s="124"/>
      <c r="I137" s="124"/>
      <c r="J137" s="96">
        <v>3000</v>
      </c>
      <c r="K137" s="96">
        <v>0</v>
      </c>
      <c r="L137" s="96">
        <f t="shared" si="7"/>
        <v>3000</v>
      </c>
      <c r="M137" s="83" t="s">
        <v>138</v>
      </c>
      <c r="N137" s="95"/>
      <c r="O137" s="116" t="s">
        <v>714</v>
      </c>
    </row>
    <row r="138" spans="1:15" s="4" customFormat="1" ht="50.25" customHeight="1">
      <c r="A138" s="138">
        <v>126</v>
      </c>
      <c r="B138" s="135" t="s">
        <v>715</v>
      </c>
      <c r="C138" s="94" t="s">
        <v>716</v>
      </c>
      <c r="D138" s="94" t="s">
        <v>717</v>
      </c>
      <c r="E138" s="92">
        <v>44921</v>
      </c>
      <c r="F138" s="83" t="s">
        <v>24</v>
      </c>
      <c r="G138" s="87" t="s">
        <v>97</v>
      </c>
      <c r="H138" s="124"/>
      <c r="I138" s="124"/>
      <c r="J138" s="96">
        <v>10180</v>
      </c>
      <c r="K138" s="96">
        <v>0</v>
      </c>
      <c r="L138" s="96">
        <f t="shared" si="7"/>
        <v>10180</v>
      </c>
      <c r="M138" s="83" t="s">
        <v>138</v>
      </c>
      <c r="N138" s="95"/>
      <c r="O138" s="116" t="s">
        <v>718</v>
      </c>
    </row>
    <row r="139" spans="1:15" s="4" customFormat="1" ht="50.25" customHeight="1">
      <c r="A139" s="138">
        <v>127</v>
      </c>
      <c r="B139" s="135" t="s">
        <v>719</v>
      </c>
      <c r="C139" s="94" t="s">
        <v>534</v>
      </c>
      <c r="D139" s="94" t="s">
        <v>720</v>
      </c>
      <c r="E139" s="92">
        <v>44776</v>
      </c>
      <c r="F139" s="83" t="s">
        <v>24</v>
      </c>
      <c r="G139" s="87" t="s">
        <v>96</v>
      </c>
      <c r="H139" s="124"/>
      <c r="I139" s="124"/>
      <c r="J139" s="96">
        <v>6750</v>
      </c>
      <c r="K139" s="96">
        <v>0</v>
      </c>
      <c r="L139" s="96">
        <f t="shared" si="7"/>
        <v>6750</v>
      </c>
      <c r="M139" s="83" t="s">
        <v>138</v>
      </c>
      <c r="N139" s="95"/>
      <c r="O139" s="116" t="s">
        <v>721</v>
      </c>
    </row>
    <row r="140" spans="1:15" s="4" customFormat="1" ht="50.25" customHeight="1">
      <c r="A140" s="138">
        <v>128</v>
      </c>
      <c r="B140" s="135" t="s">
        <v>722</v>
      </c>
      <c r="C140" s="94" t="s">
        <v>723</v>
      </c>
      <c r="D140" s="94" t="s">
        <v>638</v>
      </c>
      <c r="E140" s="92">
        <v>43493</v>
      </c>
      <c r="F140" s="83" t="s">
        <v>129</v>
      </c>
      <c r="G140" s="87" t="s">
        <v>96</v>
      </c>
      <c r="H140" s="124"/>
      <c r="I140" s="124"/>
      <c r="J140" s="96">
        <f>1000+188363+1000000</f>
        <v>1189363</v>
      </c>
      <c r="K140" s="96">
        <v>0</v>
      </c>
      <c r="L140" s="96">
        <f t="shared" si="7"/>
        <v>1189363</v>
      </c>
      <c r="M140" s="83" t="s">
        <v>138</v>
      </c>
      <c r="N140" s="95"/>
      <c r="O140" s="122" t="s">
        <v>724</v>
      </c>
    </row>
    <row r="141" spans="1:15" s="4" customFormat="1" ht="50.25" customHeight="1">
      <c r="A141" s="138">
        <v>129</v>
      </c>
      <c r="B141" s="135" t="s">
        <v>725</v>
      </c>
      <c r="C141" s="94" t="s">
        <v>726</v>
      </c>
      <c r="D141" s="94" t="s">
        <v>168</v>
      </c>
      <c r="E141" s="92">
        <v>44853</v>
      </c>
      <c r="F141" s="83" t="s">
        <v>129</v>
      </c>
      <c r="G141" s="87" t="s">
        <v>99</v>
      </c>
      <c r="H141" s="124"/>
      <c r="I141" s="124"/>
      <c r="J141" s="96">
        <v>108000</v>
      </c>
      <c r="K141" s="96">
        <v>0</v>
      </c>
      <c r="L141" s="96">
        <f t="shared" si="7"/>
        <v>108000</v>
      </c>
      <c r="M141" s="83" t="s">
        <v>138</v>
      </c>
      <c r="N141" s="95"/>
      <c r="O141" s="116" t="s">
        <v>727</v>
      </c>
    </row>
    <row r="142" spans="1:15" s="4" customFormat="1" ht="50.25" customHeight="1">
      <c r="A142" s="138">
        <v>130</v>
      </c>
      <c r="B142" s="135" t="s">
        <v>728</v>
      </c>
      <c r="C142" s="94" t="s">
        <v>729</v>
      </c>
      <c r="D142" s="94" t="s">
        <v>320</v>
      </c>
      <c r="E142" s="92">
        <v>44869</v>
      </c>
      <c r="F142" s="83" t="s">
        <v>24</v>
      </c>
      <c r="G142" s="87" t="s">
        <v>96</v>
      </c>
      <c r="H142" s="124"/>
      <c r="I142" s="124"/>
      <c r="J142" s="96">
        <v>4815</v>
      </c>
      <c r="K142" s="96">
        <v>0</v>
      </c>
      <c r="L142" s="96">
        <f t="shared" si="7"/>
        <v>4815</v>
      </c>
      <c r="M142" s="83" t="s">
        <v>138</v>
      </c>
      <c r="N142" s="95"/>
      <c r="O142" s="116" t="s">
        <v>730</v>
      </c>
    </row>
    <row r="143" spans="1:15" s="4" customFormat="1" ht="50.25" customHeight="1">
      <c r="A143" s="138">
        <v>131</v>
      </c>
      <c r="B143" s="135" t="s">
        <v>731</v>
      </c>
      <c r="C143" s="94" t="s">
        <v>642</v>
      </c>
      <c r="D143" s="94" t="s">
        <v>324</v>
      </c>
      <c r="E143" s="92">
        <v>44876</v>
      </c>
      <c r="F143" s="83" t="s">
        <v>129</v>
      </c>
      <c r="G143" s="87" t="s">
        <v>96</v>
      </c>
      <c r="H143" s="124"/>
      <c r="I143" s="124"/>
      <c r="J143" s="96">
        <f>35000+400000</f>
        <v>435000</v>
      </c>
      <c r="K143" s="96">
        <v>0</v>
      </c>
      <c r="L143" s="96">
        <f t="shared" si="7"/>
        <v>435000</v>
      </c>
      <c r="M143" s="83" t="s">
        <v>138</v>
      </c>
      <c r="N143" s="95"/>
      <c r="O143" s="122" t="s">
        <v>732</v>
      </c>
    </row>
    <row r="144" spans="1:15" s="4" customFormat="1" ht="19.5" customHeight="1">
      <c r="A144" s="83"/>
      <c r="B144" s="135"/>
      <c r="C144" s="94"/>
      <c r="D144" s="94"/>
      <c r="E144" s="92"/>
      <c r="F144" s="83"/>
      <c r="G144" s="87"/>
      <c r="H144" s="95"/>
      <c r="I144" s="95"/>
      <c r="J144" s="96"/>
      <c r="K144" s="85"/>
      <c r="L144" s="96">
        <f t="shared" si="7"/>
        <v>0</v>
      </c>
      <c r="M144" s="16"/>
      <c r="N144" s="95"/>
      <c r="O144" s="116"/>
    </row>
    <row r="145" spans="1:15" s="4" customFormat="1" ht="13.5" customHeight="1">
      <c r="A145" s="101"/>
      <c r="B145" s="102"/>
      <c r="C145" s="103"/>
      <c r="D145" s="103"/>
      <c r="E145" s="104"/>
      <c r="F145" s="105"/>
      <c r="G145" s="106"/>
      <c r="H145" s="107"/>
      <c r="I145" s="107"/>
      <c r="J145" s="132"/>
      <c r="K145" s="108"/>
      <c r="L145" s="132"/>
      <c r="M145" s="101"/>
      <c r="N145" s="107"/>
      <c r="O145" s="104"/>
    </row>
    <row r="146" spans="12:14" ht="15.75">
      <c r="L146" s="141" t="s">
        <v>733</v>
      </c>
      <c r="M146" s="141"/>
      <c r="N146" s="141"/>
    </row>
    <row r="147" spans="1:15" ht="21" customHeight="1">
      <c r="A147" s="140" t="s">
        <v>34</v>
      </c>
      <c r="B147" s="140"/>
      <c r="C147" s="140"/>
      <c r="D147" s="140"/>
      <c r="K147" s="25"/>
      <c r="L147" s="140" t="s">
        <v>678</v>
      </c>
      <c r="M147" s="140"/>
      <c r="N147" s="140"/>
      <c r="O147" s="25"/>
    </row>
    <row r="148" spans="1:15" ht="21" customHeight="1">
      <c r="A148" s="90"/>
      <c r="B148" s="90"/>
      <c r="C148" s="90"/>
      <c r="D148" s="90"/>
      <c r="K148" s="25"/>
      <c r="L148" s="140"/>
      <c r="M148" s="140"/>
      <c r="N148" s="140"/>
      <c r="O148" s="25"/>
    </row>
    <row r="149" spans="1:15" ht="21" customHeight="1">
      <c r="A149" s="90"/>
      <c r="B149" s="90"/>
      <c r="C149" s="90"/>
      <c r="D149" s="90"/>
      <c r="K149" s="25"/>
      <c r="L149" s="134"/>
      <c r="M149" s="90"/>
      <c r="N149" s="90"/>
      <c r="O149" s="25"/>
    </row>
    <row r="150" spans="1:15" ht="21" customHeight="1">
      <c r="A150" s="90"/>
      <c r="B150" s="90"/>
      <c r="C150" s="90"/>
      <c r="D150" s="90"/>
      <c r="K150" s="25"/>
      <c r="L150" s="134"/>
      <c r="M150" s="90"/>
      <c r="N150" s="90"/>
      <c r="O150" s="25"/>
    </row>
    <row r="151" spans="1:15" ht="21" customHeight="1">
      <c r="A151" s="90"/>
      <c r="B151" s="90"/>
      <c r="C151" s="90"/>
      <c r="D151" s="90"/>
      <c r="K151" s="25"/>
      <c r="L151" s="134"/>
      <c r="M151" s="90"/>
      <c r="N151" s="90"/>
      <c r="O151" s="25"/>
    </row>
    <row r="152" spans="1:14" ht="118.5" customHeight="1">
      <c r="A152" s="142" t="s">
        <v>161</v>
      </c>
      <c r="B152" s="142"/>
      <c r="C152" s="142"/>
      <c r="D152" s="142"/>
      <c r="L152" s="142" t="s">
        <v>679</v>
      </c>
      <c r="M152" s="142"/>
      <c r="N152" s="142"/>
    </row>
    <row r="157" spans="2:13" ht="142.5" customHeight="1">
      <c r="B157" s="139"/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</row>
  </sheetData>
  <sheetProtection/>
  <mergeCells count="13">
    <mergeCell ref="M1:O1"/>
    <mergeCell ref="P6:R6"/>
    <mergeCell ref="A1:F1"/>
    <mergeCell ref="A2:F2"/>
    <mergeCell ref="A4:O4"/>
    <mergeCell ref="N5:O5"/>
    <mergeCell ref="B157:M157"/>
    <mergeCell ref="L148:N148"/>
    <mergeCell ref="A147:D147"/>
    <mergeCell ref="L146:N146"/>
    <mergeCell ref="L147:N147"/>
    <mergeCell ref="A152:D152"/>
    <mergeCell ref="L152:N152"/>
  </mergeCells>
  <conditionalFormatting sqref="C10 C144:C145 C13:C100">
    <cfRule type="expression" priority="1871" dxfId="1" stopIfTrue="1">
      <formula>AND(B10&lt;&gt;"",C10="")</formula>
    </cfRule>
  </conditionalFormatting>
  <conditionalFormatting sqref="D10 H10 D144:D145 D13:D100">
    <cfRule type="expression" priority="1870" dxfId="1" stopIfTrue="1">
      <formula>AND(B10&lt;&gt;"",D10="")</formula>
    </cfRule>
  </conditionalFormatting>
  <conditionalFormatting sqref="E10 I10 E144:E145 E13:E100">
    <cfRule type="expression" priority="1869" dxfId="1" stopIfTrue="1">
      <formula>AND(B10&lt;&gt;"",E10="")</formula>
    </cfRule>
  </conditionalFormatting>
  <conditionalFormatting sqref="C58">
    <cfRule type="expression" priority="287" dxfId="1" stopIfTrue="1">
      <formula>AND(B58&lt;&gt;"",C58="")</formula>
    </cfRule>
  </conditionalFormatting>
  <conditionalFormatting sqref="D58">
    <cfRule type="expression" priority="286" dxfId="1" stopIfTrue="1">
      <formula>AND(B58&lt;&gt;"",D58="")</formula>
    </cfRule>
  </conditionalFormatting>
  <conditionalFormatting sqref="E58">
    <cfRule type="expression" priority="285" dxfId="1" stopIfTrue="1">
      <formula>AND(B58&lt;&gt;"",E58="")</formula>
    </cfRule>
  </conditionalFormatting>
  <conditionalFormatting sqref="C58">
    <cfRule type="expression" priority="267" dxfId="1" stopIfTrue="1">
      <formula>AND(B58&lt;&gt;"",C58="")</formula>
    </cfRule>
  </conditionalFormatting>
  <conditionalFormatting sqref="D58">
    <cfRule type="expression" priority="266" dxfId="1" stopIfTrue="1">
      <formula>AND(B58&lt;&gt;"",D58="")</formula>
    </cfRule>
  </conditionalFormatting>
  <conditionalFormatting sqref="E58">
    <cfRule type="expression" priority="265" dxfId="1" stopIfTrue="1">
      <formula>AND(B58&lt;&gt;"",E58="")</formula>
    </cfRule>
  </conditionalFormatting>
  <conditionalFormatting sqref="C58">
    <cfRule type="expression" priority="261" dxfId="1" stopIfTrue="1">
      <formula>AND(B58&lt;&gt;"",C58="")</formula>
    </cfRule>
  </conditionalFormatting>
  <conditionalFormatting sqref="D58">
    <cfRule type="expression" priority="260" dxfId="1" stopIfTrue="1">
      <formula>AND(B58&lt;&gt;"",D58="")</formula>
    </cfRule>
  </conditionalFormatting>
  <conditionalFormatting sqref="E58">
    <cfRule type="expression" priority="259" dxfId="1" stopIfTrue="1">
      <formula>AND(B58&lt;&gt;"",E58="")</formula>
    </cfRule>
  </conditionalFormatting>
  <conditionalFormatting sqref="C58">
    <cfRule type="expression" priority="255" dxfId="1" stopIfTrue="1">
      <formula>AND(B58&lt;&gt;"",C58="")</formula>
    </cfRule>
  </conditionalFormatting>
  <conditionalFormatting sqref="D58">
    <cfRule type="expression" priority="254" dxfId="1" stopIfTrue="1">
      <formula>AND(B58&lt;&gt;"",D58="")</formula>
    </cfRule>
  </conditionalFormatting>
  <conditionalFormatting sqref="E58">
    <cfRule type="expression" priority="253" dxfId="1" stopIfTrue="1">
      <formula>AND(B58&lt;&gt;"",E58="")</formula>
    </cfRule>
  </conditionalFormatting>
  <conditionalFormatting sqref="C101:C103">
    <cfRule type="expression" priority="17" dxfId="1" stopIfTrue="1">
      <formula>AND(B101&lt;&gt;"",C101="")</formula>
    </cfRule>
  </conditionalFormatting>
  <conditionalFormatting sqref="D101:D103">
    <cfRule type="expression" priority="16" dxfId="1" stopIfTrue="1">
      <formula>AND(B101&lt;&gt;"",D101="")</formula>
    </cfRule>
  </conditionalFormatting>
  <conditionalFormatting sqref="E101:E105 E107:E114">
    <cfRule type="expression" priority="15" dxfId="1" stopIfTrue="1">
      <formula>AND(B101&lt;&gt;"",E101="")</formula>
    </cfRule>
  </conditionalFormatting>
  <conditionalFormatting sqref="C104:C105 C107">
    <cfRule type="expression" priority="14" dxfId="1" stopIfTrue="1">
      <formula>AND(B104&lt;&gt;"",C104="")</formula>
    </cfRule>
  </conditionalFormatting>
  <conditionalFormatting sqref="D104:D105 D107:D114">
    <cfRule type="expression" priority="13" dxfId="1" stopIfTrue="1">
      <formula>AND(B104&lt;&gt;"",D104="")</formula>
    </cfRule>
  </conditionalFormatting>
  <conditionalFormatting sqref="E106">
    <cfRule type="expression" priority="12" dxfId="1" stopIfTrue="1">
      <formula>AND(B106&lt;&gt;"",E106="")</formula>
    </cfRule>
  </conditionalFormatting>
  <conditionalFormatting sqref="C106">
    <cfRule type="expression" priority="11" dxfId="1" stopIfTrue="1">
      <formula>AND(B106&lt;&gt;"",C106="")</formula>
    </cfRule>
  </conditionalFormatting>
  <conditionalFormatting sqref="D106">
    <cfRule type="expression" priority="10" dxfId="1" stopIfTrue="1">
      <formula>AND(B106&lt;&gt;"",D106="")</formula>
    </cfRule>
  </conditionalFormatting>
  <conditionalFormatting sqref="C108:C109">
    <cfRule type="expression" priority="9" dxfId="1" stopIfTrue="1">
      <formula>AND(B108&lt;&gt;"",C108="")</formula>
    </cfRule>
  </conditionalFormatting>
  <conditionalFormatting sqref="C110:C114">
    <cfRule type="expression" priority="8" dxfId="1" stopIfTrue="1">
      <formula>AND(B110&lt;&gt;"",C110="")</formula>
    </cfRule>
  </conditionalFormatting>
  <conditionalFormatting sqref="E115:E116 E118:E143">
    <cfRule type="expression" priority="7" dxfId="1" stopIfTrue="1">
      <formula>AND(B115&lt;&gt;"",E115="")</formula>
    </cfRule>
  </conditionalFormatting>
  <conditionalFormatting sqref="D115:D116 D118:D143">
    <cfRule type="expression" priority="6" dxfId="1" stopIfTrue="1">
      <formula>AND(B115&lt;&gt;"",D115="")</formula>
    </cfRule>
  </conditionalFormatting>
  <conditionalFormatting sqref="C115:C116 C118:C128 C130:C143">
    <cfRule type="expression" priority="5" dxfId="1" stopIfTrue="1">
      <formula>AND(B115&lt;&gt;"",C115="")</formula>
    </cfRule>
  </conditionalFormatting>
  <conditionalFormatting sqref="E117">
    <cfRule type="expression" priority="4" dxfId="1" stopIfTrue="1">
      <formula>AND(B117&lt;&gt;"",E117="")</formula>
    </cfRule>
  </conditionalFormatting>
  <conditionalFormatting sqref="D117">
    <cfRule type="expression" priority="3" dxfId="1" stopIfTrue="1">
      <formula>AND(B117&lt;&gt;"",D117="")</formula>
    </cfRule>
  </conditionalFormatting>
  <conditionalFormatting sqref="C117">
    <cfRule type="expression" priority="2" dxfId="1" stopIfTrue="1">
      <formula>AND(B117&lt;&gt;"",C117="")</formula>
    </cfRule>
  </conditionalFormatting>
  <conditionalFormatting sqref="C129">
    <cfRule type="expression" priority="1" dxfId="1" stopIfTrue="1">
      <formula>AND(B129&lt;&gt;"",C129="")</formula>
    </cfRule>
  </conditionalFormatting>
  <dataValidations count="7">
    <dataValidation type="textLength" allowBlank="1" showInputMessage="1" showErrorMessage="1" errorTitle="Chú ý" error="Nhập đúng số, ký hiệu của tất cả các Bản án, Quyết định của Tòa án, ví dụ:( BA số 123/2016/HS-ST ngày 15/8/2016 của TAND tỉnh Đăk Nông và BA số 456/2016/HS-PT ngày 16/8/2017 của TAND cấp cao tại TP Hồ Chí Minh)" sqref="O34:O37 B13:B23 B25:B145 O39:O144">
      <formula1>9</formula1>
      <formula2>10000</formula2>
    </dataValidation>
    <dataValidation type="list" allowBlank="1" showInputMessage="1" showErrorMessage="1" errorTitle="Thông báo" error="Lựa chọn theo danh sách" sqref="G10 G13:G145">
      <formula1>INDIRECT("Du_lieu!$B$6:$B$15")</formula1>
    </dataValidation>
    <dataValidation type="date" allowBlank="1" showInputMessage="1" showErrorMessage="1" errorTitle="Thông báo" error="Ngày tháng không hợp lệ" sqref="C10 E10 I10 N10">
      <formula1>25569</formula1>
      <formula2>42644</formula2>
    </dataValidation>
    <dataValidation type="decimal" allowBlank="1" showInputMessage="1" showErrorMessage="1" errorTitle="Thông báo" error="Phải nhập vào kiểu số" sqref="J10:K10 J13:K145">
      <formula1>0</formula1>
      <formula2>10000000000000000</formula2>
    </dataValidation>
    <dataValidation type="list" allowBlank="1" showInputMessage="1" showErrorMessage="1" errorTitle="Thông báo" error="Lựa chọn theo danh sách" sqref="M10 M13:M145">
      <formula1>INDIRECT("Du_lieu!$b$17:$b$26")</formula1>
    </dataValidation>
    <dataValidation type="list" allowBlank="1" showInputMessage="1" showErrorMessage="1" errorTitle="Thông báo" error="Lựa chọn theo danh sách" sqref="F10 F13:F145">
      <formula1>INDIRECT("Du_lieu!$B$3:$B$4")</formula1>
    </dataValidation>
    <dataValidation type="textLength" allowBlank="1" showInputMessage="1" showErrorMessage="1" errorTitle="Thông báo" error="Tối thiểu 02 ký tự" sqref="H10 D10 B10">
      <formula1>2</formula1>
      <formula2>30</formula2>
    </dataValidation>
  </dataValidations>
  <printOptions/>
  <pageMargins left="0.28" right="0.17" top="0.25" bottom="0.23" header="0.22" footer="0.15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30"/>
  <sheetViews>
    <sheetView view="pageBreakPreview" zoomScale="90" zoomScaleNormal="90" zoomScaleSheetLayoutView="90" zoomScalePageLayoutView="0" workbookViewId="0" topLeftCell="A1">
      <pane ySplit="6" topLeftCell="A7" activePane="bottomLeft" state="frozen"/>
      <selection pane="topLeft" activeCell="A1" sqref="A1"/>
      <selection pane="bottomLeft" activeCell="D22" sqref="D22:F22"/>
    </sheetView>
  </sheetViews>
  <sheetFormatPr defaultColWidth="7.99609375" defaultRowHeight="18.75"/>
  <cols>
    <col min="1" max="1" width="4.77734375" style="26" customWidth="1"/>
    <col min="2" max="2" width="85.10546875" style="26" customWidth="1"/>
    <col min="3" max="3" width="9.10546875" style="26" customWidth="1"/>
    <col min="4" max="6" width="12.10546875" style="26" customWidth="1"/>
    <col min="7" max="16384" width="7.99609375" style="26" customWidth="1"/>
  </cols>
  <sheetData>
    <row r="1" spans="1:6" ht="18" customHeight="1">
      <c r="A1" s="68" t="s">
        <v>124</v>
      </c>
      <c r="B1" s="68" t="s">
        <v>164</v>
      </c>
      <c r="D1" s="89"/>
      <c r="E1" s="89"/>
      <c r="F1" s="89"/>
    </row>
    <row r="2" spans="1:6" ht="20.25" customHeight="1">
      <c r="A2" s="69" t="s">
        <v>125</v>
      </c>
      <c r="B2" s="69" t="s">
        <v>163</v>
      </c>
      <c r="D2" s="89"/>
      <c r="E2" s="89"/>
      <c r="F2" s="89"/>
    </row>
    <row r="3" spans="1:6" ht="54" customHeight="1">
      <c r="A3" s="150" t="s">
        <v>150</v>
      </c>
      <c r="B3" s="150"/>
      <c r="C3" s="150"/>
      <c r="D3" s="150"/>
      <c r="E3" s="150"/>
      <c r="F3" s="150"/>
    </row>
    <row r="4" spans="1:6" ht="22.5" customHeight="1">
      <c r="A4" s="151" t="s">
        <v>26</v>
      </c>
      <c r="B4" s="151" t="s">
        <v>28</v>
      </c>
      <c r="C4" s="151" t="s">
        <v>27</v>
      </c>
      <c r="D4" s="152" t="s">
        <v>126</v>
      </c>
      <c r="E4" s="151"/>
      <c r="F4" s="151"/>
    </row>
    <row r="5" spans="1:6" ht="58.5" customHeight="1">
      <c r="A5" s="151"/>
      <c r="B5" s="151"/>
      <c r="C5" s="151"/>
      <c r="D5" s="24" t="s">
        <v>22</v>
      </c>
      <c r="E5" s="24" t="s">
        <v>30</v>
      </c>
      <c r="F5" s="24" t="s">
        <v>31</v>
      </c>
    </row>
    <row r="6" spans="1:6" s="27" customFormat="1" ht="23.25" customHeight="1">
      <c r="A6" s="71"/>
      <c r="B6" s="67" t="s">
        <v>146</v>
      </c>
      <c r="C6" s="65">
        <f>IF(SUM(C7:C16)=Danhsach!M8,SUM(C7:C16),"Kiểm tra lại")</f>
        <v>131</v>
      </c>
      <c r="D6" s="65">
        <f>IF(SUM(D7:D16)=Danhsach!J8,SUM(D7:D16),"Kiểm tra lại")</f>
        <v>41125403</v>
      </c>
      <c r="E6" s="65">
        <f>IF(SUM(E7:E16)=Danhsach!K8,SUM(E7:E16),"Kiểm tra lại")</f>
        <v>1059474</v>
      </c>
      <c r="F6" s="65">
        <f>IF(SUM(F7:F16)=Danhsach!L8,SUM(F7:F16),"Kiểm tra lại")</f>
        <v>40065929</v>
      </c>
    </row>
    <row r="7" spans="1:6" s="27" customFormat="1" ht="16.5">
      <c r="A7" s="70" t="s">
        <v>116</v>
      </c>
      <c r="B7" s="64" t="str">
        <f>Du_lieu!B17</f>
        <v>Điểm a K1 Điều 44a-Người phải THA không có thu nhập </v>
      </c>
      <c r="C7" s="66">
        <f>COUNTIF(Danhsach!$M$10:$M$10063,'TK theo ly do'!$B7)</f>
        <v>131</v>
      </c>
      <c r="D7" s="66">
        <f>SUMIF(Danhsach!$M$10:$M$10063,'TK theo ly do'!$B7,Danhsach!J$10:J$10063)</f>
        <v>41125403</v>
      </c>
      <c r="E7" s="66">
        <f>SUMIF(Danhsach!$M$10:$M$10063,'TK theo ly do'!$B7,Danhsach!K$10:K$10063)</f>
        <v>1059474</v>
      </c>
      <c r="F7" s="66">
        <f>SUMIF(Danhsach!$M$10:$M$10063,'TK theo ly do'!$B7,Danhsach!L$10:L$10063)</f>
        <v>40065929</v>
      </c>
    </row>
    <row r="8" spans="1:6" s="27" customFormat="1" ht="31.5">
      <c r="A8" s="70" t="s">
        <v>117</v>
      </c>
      <c r="B8" s="64" t="str">
        <f>Du_lieu!B18</f>
        <v>Điểm a K1 Điều 44a-Người phải THA có thu nhập chỉ đảm bảo cuộc sống tối thiểu cho người phải THA, người mà họ có trách nhiệm nuôi dưỡng</v>
      </c>
      <c r="C8" s="66">
        <f>COUNTIF(Danhsach!$M$10:$M$10063,'TK theo ly do'!$B8)</f>
        <v>0</v>
      </c>
      <c r="D8" s="66">
        <f>SUMIF(Danhsach!$M$10:$M$10063,'TK theo ly do'!$B8,Danhsach!J$10:J$10063)</f>
        <v>0</v>
      </c>
      <c r="E8" s="66">
        <f>SUMIF(Danhsach!$M$10:$M$10063,'TK theo ly do'!$B8,Danhsach!K$10:K$10063)</f>
        <v>0</v>
      </c>
      <c r="F8" s="66">
        <f>SUMIF(Danhsach!$M$10:$M$10063,'TK theo ly do'!$B8,Danhsach!L$10:L$10063)</f>
        <v>0</v>
      </c>
    </row>
    <row r="9" spans="1:6" s="27" customFormat="1" ht="16.5">
      <c r="A9" s="70" t="s">
        <v>118</v>
      </c>
      <c r="B9" s="64" t="str">
        <f>Du_lieu!B19</f>
        <v>Điểm a K1 Điều 44a-Người phải THA không có tài sản để THA</v>
      </c>
      <c r="C9" s="66">
        <f>COUNTIF(Danhsach!$M$10:$M$10063,'TK theo ly do'!$B9)</f>
        <v>0</v>
      </c>
      <c r="D9" s="66">
        <f>SUMIF(Danhsach!$M$10:$M$10063,'TK theo ly do'!$B9,Danhsach!J$10:J$10063)</f>
        <v>0</v>
      </c>
      <c r="E9" s="66">
        <f>SUMIF(Danhsach!$M$10:$M$10063,'TK theo ly do'!$B9,Danhsach!K$10:K$10063)</f>
        <v>0</v>
      </c>
      <c r="F9" s="66">
        <f>SUMIF(Danhsach!$M$10:$M$10063,'TK theo ly do'!$B9,Danhsach!L$10:L$10063)</f>
        <v>0</v>
      </c>
    </row>
    <row r="10" spans="1:6" s="27" customFormat="1" ht="16.5">
      <c r="A10" s="70" t="s">
        <v>119</v>
      </c>
      <c r="B10" s="64" t="str">
        <f>Du_lieu!B20</f>
        <v>Điểm a K1 Điều 44a-Người phải THA có tài sản nhưng giá trị tài sản chỉ đủ thanh toán chi phí cưỡng chế THA</v>
      </c>
      <c r="C10" s="66">
        <f>COUNTIF(Danhsach!$M$10:$M$10063,'TK theo ly do'!$B10)</f>
        <v>0</v>
      </c>
      <c r="D10" s="66">
        <f>SUMIF(Danhsach!$M$10:$M$10063,'TK theo ly do'!$B10,Danhsach!J$10:J$10063)</f>
        <v>0</v>
      </c>
      <c r="E10" s="66">
        <f>SUMIF(Danhsach!$M$10:$M$10063,'TK theo ly do'!$B10,Danhsach!K$10:K$10063)</f>
        <v>0</v>
      </c>
      <c r="F10" s="66">
        <f>SUMIF(Danhsach!$M$10:$M$10063,'TK theo ly do'!$B10,Danhsach!L$10:L$10063)</f>
        <v>0</v>
      </c>
    </row>
    <row r="11" spans="1:6" s="27" customFormat="1" ht="31.5">
      <c r="A11" s="70" t="s">
        <v>7</v>
      </c>
      <c r="B11" s="64" t="str">
        <f>Du_lieu!B21</f>
        <v>Điểm a K1 Điều 44a-Người phải THA có tài sản nhưng tài sản theo quy định của pháp luật không được kê biên, xử lý để THA</v>
      </c>
      <c r="C11" s="66">
        <f>COUNTIF(Danhsach!$M$10:$M$10063,'TK theo ly do'!$B11)</f>
        <v>0</v>
      </c>
      <c r="D11" s="66">
        <f>SUMIF(Danhsach!$M$10:$M$10063,'TK theo ly do'!$B11,Danhsach!J$10:J$10063)</f>
        <v>0</v>
      </c>
      <c r="E11" s="66">
        <f>SUMIF(Danhsach!$M$10:$M$10063,'TK theo ly do'!$B11,Danhsach!K$10:K$10063)</f>
        <v>0</v>
      </c>
      <c r="F11" s="66">
        <f>SUMIF(Danhsach!$M$10:$M$10063,'TK theo ly do'!$B11,Danhsach!L$10:L$10063)</f>
        <v>0</v>
      </c>
    </row>
    <row r="12" spans="1:6" s="27" customFormat="1" ht="16.5">
      <c r="A12" s="70" t="s">
        <v>63</v>
      </c>
      <c r="B12" s="64" t="str">
        <f>Du_lieu!B22</f>
        <v>Điểm b K1 Điều 44a-Người phải THA phải thi hành nghĩa vụ về trả vật đặc định nhưng vật phải trả không còn</v>
      </c>
      <c r="C12" s="66">
        <f>COUNTIF(Danhsach!$M$10:$M$10063,'TK theo ly do'!$B12)</f>
        <v>0</v>
      </c>
      <c r="D12" s="66">
        <f>SUMIF(Danhsach!$M$10:$M$10063,'TK theo ly do'!$B12,Danhsach!J$10:J$10063)</f>
        <v>0</v>
      </c>
      <c r="E12" s="66">
        <f>SUMIF(Danhsach!$M$10:$M$10063,'TK theo ly do'!$B12,Danhsach!K$10:K$10063)</f>
        <v>0</v>
      </c>
      <c r="F12" s="66">
        <f>SUMIF(Danhsach!$M$10:$M$10063,'TK theo ly do'!$B12,Danhsach!L$10:L$10063)</f>
        <v>0</v>
      </c>
    </row>
    <row r="13" spans="1:6" s="27" customFormat="1" ht="31.5">
      <c r="A13" s="70" t="s">
        <v>120</v>
      </c>
      <c r="B13" s="64" t="str">
        <f>Du_lieu!B23</f>
        <v>Điểm b K1 Điều 44a-Người phải THA phải thi hành nghĩa vụ về trả vật đặc định nhưng vật phải trả hư hỏng đến mức không thể sử dụng được</v>
      </c>
      <c r="C13" s="66">
        <f>COUNTIF(Danhsach!$M$10:$M$10063,'TK theo ly do'!$B13)</f>
        <v>0</v>
      </c>
      <c r="D13" s="66">
        <f>SUMIF(Danhsach!$M$10:$M$10063,'TK theo ly do'!$B13,Danhsach!J$10:J$10063)</f>
        <v>0</v>
      </c>
      <c r="E13" s="66">
        <f>SUMIF(Danhsach!$M$10:$M$10063,'TK theo ly do'!$B13,Danhsach!K$10:K$10063)</f>
        <v>0</v>
      </c>
      <c r="F13" s="66">
        <f>SUMIF(Danhsach!$M$10:$M$10063,'TK theo ly do'!$B13,Danhsach!L$10:L$10063)</f>
        <v>0</v>
      </c>
    </row>
    <row r="14" spans="1:6" s="27" customFormat="1" ht="31.5">
      <c r="A14" s="70" t="s">
        <v>121</v>
      </c>
      <c r="B14" s="64" t="str">
        <f>Du_lieu!B24</f>
        <v>Điểm b K1 Điều 44a-Người phải THA phải trả giấy tờ nhưng giấy tờ không thể thu hồi và cũng không cấp lại được mà đương sự không có thỏa thuận khác</v>
      </c>
      <c r="C14" s="66">
        <f>COUNTIF(Danhsach!$M$10:$M$10063,'TK theo ly do'!$B14)</f>
        <v>0</v>
      </c>
      <c r="D14" s="66">
        <f>SUMIF(Danhsach!$M$10:$M$10063,'TK theo ly do'!$B14,Danhsach!J$10:J$10063)</f>
        <v>0</v>
      </c>
      <c r="E14" s="66">
        <f>SUMIF(Danhsach!$M$10:$M$10063,'TK theo ly do'!$B14,Danhsach!K$10:K$10063)</f>
        <v>0</v>
      </c>
      <c r="F14" s="66">
        <f>SUMIF(Danhsach!$M$10:$M$10063,'TK theo ly do'!$B14,Danhsach!L$10:L$10063)</f>
        <v>0</v>
      </c>
    </row>
    <row r="15" spans="1:6" s="27" customFormat="1" ht="16.5">
      <c r="A15" s="70" t="s">
        <v>122</v>
      </c>
      <c r="B15" s="64" t="str">
        <f>Du_lieu!B25</f>
        <v>Điểm c K1 Điều 44a-Chưa xác định được địa chỉ, nơi cư trú của người phải THA</v>
      </c>
      <c r="C15" s="66">
        <f>COUNTIF(Danhsach!$M$10:$M$10063,'TK theo ly do'!$B15)</f>
        <v>0</v>
      </c>
      <c r="D15" s="66">
        <f>SUMIF(Danhsach!$M$10:$M$10063,'TK theo ly do'!$B15,Danhsach!J$10:J$10063)</f>
        <v>0</v>
      </c>
      <c r="E15" s="66">
        <f>SUMIF(Danhsach!$M$10:$M$10063,'TK theo ly do'!$B15,Danhsach!K$10:K$10063)</f>
        <v>0</v>
      </c>
      <c r="F15" s="66">
        <f>SUMIF(Danhsach!$M$10:$M$10063,'TK theo ly do'!$B15,Danhsach!L$10:L$10063)</f>
        <v>0</v>
      </c>
    </row>
    <row r="16" spans="1:6" s="27" customFormat="1" ht="31.5">
      <c r="A16" s="70" t="s">
        <v>123</v>
      </c>
      <c r="B16" s="64" t="str">
        <f>Du_lieu!B26</f>
        <v>Điểm c K1 Điều 44a-Chưa xác định được địa chỉ, nơi cư trú của người chưa thành niên được giao cho người khác nuôi dưỡng</v>
      </c>
      <c r="C16" s="66">
        <f>COUNTIF(Danhsach!$M$10:$M$10063,'TK theo ly do'!$B16)</f>
        <v>0</v>
      </c>
      <c r="D16" s="66">
        <f>SUMIF(Danhsach!$M$10:$M$10063,'TK theo ly do'!$B16,Danhsach!J$10:J$10063)</f>
        <v>0</v>
      </c>
      <c r="E16" s="66">
        <f>SUMIF(Danhsach!$M$10:$M$10063,'TK theo ly do'!$B16,Danhsach!K$10:K$10063)</f>
        <v>0</v>
      </c>
      <c r="F16" s="66">
        <f>SUMIF(Danhsach!$M$10:$M$10063,'TK theo ly do'!$B16,Danhsach!L$10:L$10063)</f>
        <v>0</v>
      </c>
    </row>
    <row r="17" spans="1:2" ht="15.75" hidden="1">
      <c r="A17" s="28" t="s">
        <v>2</v>
      </c>
      <c r="B17" s="29"/>
    </row>
    <row r="18" spans="1:2" ht="15.75" hidden="1">
      <c r="A18" s="30"/>
      <c r="B18" s="31" t="s">
        <v>3</v>
      </c>
    </row>
    <row r="19" spans="1:2" ht="15.75" hidden="1">
      <c r="A19" s="30"/>
      <c r="B19" s="31" t="s">
        <v>4</v>
      </c>
    </row>
    <row r="20" spans="1:2" ht="15.75" hidden="1">
      <c r="A20" s="30"/>
      <c r="B20" s="31" t="s">
        <v>5</v>
      </c>
    </row>
    <row r="21" spans="1:2" ht="15.75" hidden="1">
      <c r="A21" s="30"/>
      <c r="B21" s="31" t="s">
        <v>6</v>
      </c>
    </row>
    <row r="22" spans="4:6" ht="15.75">
      <c r="D22" s="141" t="s">
        <v>677</v>
      </c>
      <c r="E22" s="141"/>
      <c r="F22" s="141"/>
    </row>
    <row r="23" spans="2:6" ht="15.75">
      <c r="B23" s="58" t="s">
        <v>90</v>
      </c>
      <c r="C23" s="58"/>
      <c r="D23" s="149" t="s">
        <v>678</v>
      </c>
      <c r="E23" s="149"/>
      <c r="F23" s="149"/>
    </row>
    <row r="24" spans="4:6" ht="18.75" customHeight="1">
      <c r="D24" s="148"/>
      <c r="E24" s="148"/>
      <c r="F24" s="148"/>
    </row>
    <row r="29" spans="2:6" ht="15.75">
      <c r="B29" s="99" t="s">
        <v>200</v>
      </c>
      <c r="C29" s="99"/>
      <c r="D29" s="148" t="s">
        <v>679</v>
      </c>
      <c r="E29" s="148"/>
      <c r="F29" s="148"/>
    </row>
    <row r="30" spans="2:6" ht="15.75">
      <c r="B30" s="99"/>
      <c r="C30" s="99"/>
      <c r="D30" s="99"/>
      <c r="E30" s="99"/>
      <c r="F30" s="99"/>
    </row>
  </sheetData>
  <sheetProtection password="C6EF" sheet="1" formatCells="0" formatColumns="0" formatRows="0"/>
  <mergeCells count="9">
    <mergeCell ref="D29:F29"/>
    <mergeCell ref="D22:F22"/>
    <mergeCell ref="D23:F23"/>
    <mergeCell ref="D24:F24"/>
    <mergeCell ref="A3:F3"/>
    <mergeCell ref="A4:A5"/>
    <mergeCell ref="B4:B5"/>
    <mergeCell ref="C4:C5"/>
    <mergeCell ref="D4:F4"/>
  </mergeCells>
  <conditionalFormatting sqref="C6:F16">
    <cfRule type="cellIs" priority="3" dxfId="3" operator="lessThan" stopIfTrue="1">
      <formula>0</formula>
    </cfRule>
    <cfRule type="cellIs" priority="4" dxfId="36" operator="equal" stopIfTrue="1">
      <formula>"Kiểm tra lại"</formula>
    </cfRule>
  </conditionalFormatting>
  <printOptions/>
  <pageMargins left="0.65" right="0.17" top="0.55" bottom="0" header="0.5118110236220472" footer="0.21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L2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E27" sqref="E27:G27"/>
    </sheetView>
  </sheetViews>
  <sheetFormatPr defaultColWidth="7.99609375" defaultRowHeight="18.75"/>
  <cols>
    <col min="1" max="1" width="3.77734375" style="6" customWidth="1"/>
    <col min="2" max="2" width="29.6640625" style="6" customWidth="1"/>
    <col min="3" max="3" width="10.77734375" style="6" customWidth="1"/>
    <col min="4" max="4" width="16.4453125" style="6" customWidth="1"/>
    <col min="5" max="5" width="14.4453125" style="6" customWidth="1"/>
    <col min="6" max="6" width="14.10546875" style="6" customWidth="1"/>
    <col min="7" max="7" width="9.21484375" style="6" customWidth="1"/>
    <col min="8" max="8" width="11.88671875" style="6" customWidth="1"/>
    <col min="9" max="12" width="4.21484375" style="6" customWidth="1"/>
    <col min="13" max="16384" width="7.99609375" style="6" customWidth="1"/>
  </cols>
  <sheetData>
    <row r="1" spans="1:2" ht="18" customHeight="1">
      <c r="A1" s="154" t="s">
        <v>52</v>
      </c>
      <c r="B1" s="154"/>
    </row>
    <row r="2" spans="1:2" ht="18" customHeight="1">
      <c r="A2" s="158" t="s">
        <v>89</v>
      </c>
      <c r="B2" s="158"/>
    </row>
    <row r="3" spans="1:8" ht="59.25" customHeight="1">
      <c r="A3" s="150" t="s">
        <v>592</v>
      </c>
      <c r="B3" s="155"/>
      <c r="C3" s="155"/>
      <c r="D3" s="155"/>
      <c r="E3" s="155"/>
      <c r="F3" s="155"/>
      <c r="G3" s="155"/>
      <c r="H3" s="155"/>
    </row>
    <row r="4" spans="1:8" ht="38.25" customHeight="1">
      <c r="A4" s="151" t="s">
        <v>26</v>
      </c>
      <c r="B4" s="151" t="s">
        <v>28</v>
      </c>
      <c r="C4" s="151" t="s">
        <v>27</v>
      </c>
      <c r="D4" s="152" t="s">
        <v>33</v>
      </c>
      <c r="E4" s="151"/>
      <c r="F4" s="151"/>
      <c r="G4" s="156" t="s">
        <v>32</v>
      </c>
      <c r="H4" s="157" t="s">
        <v>0</v>
      </c>
    </row>
    <row r="5" spans="1:8" ht="39.75" customHeight="1">
      <c r="A5" s="151"/>
      <c r="B5" s="151"/>
      <c r="C5" s="151"/>
      <c r="D5" s="24" t="s">
        <v>22</v>
      </c>
      <c r="E5" s="24" t="s">
        <v>30</v>
      </c>
      <c r="F5" s="24" t="s">
        <v>31</v>
      </c>
      <c r="G5" s="156"/>
      <c r="H5" s="157"/>
    </row>
    <row r="6" spans="1:12" s="9" customFormat="1" ht="15.75" customHeight="1">
      <c r="A6" s="79" t="s">
        <v>116</v>
      </c>
      <c r="B6" s="32" t="s">
        <v>127</v>
      </c>
      <c r="C6" s="7">
        <f>IF(C7+C8=Danhsach!F8,C7+C8,"Kiểm tra lại")</f>
        <v>131</v>
      </c>
      <c r="D6" s="7">
        <f>IF(D7+D8=Danhsach!J8,D7+D8,"Kiểm tra lại")</f>
        <v>41125403</v>
      </c>
      <c r="E6" s="7">
        <f>IF(E7+E8=Danhsach!K8,E7+E8,"Kiểm tra lại")</f>
        <v>1059474</v>
      </c>
      <c r="F6" s="7">
        <f>IF(F7+F8=Danhsach!L8,F7+F8,"Kiểm tra lại")</f>
        <v>40065929</v>
      </c>
      <c r="G6" s="33"/>
      <c r="H6" s="80"/>
      <c r="I6" s="72" t="b">
        <f>C6='TK theo ly do'!C6</f>
        <v>1</v>
      </c>
      <c r="J6" s="72" t="b">
        <f>D6='TK theo ly do'!D6</f>
        <v>1</v>
      </c>
      <c r="K6" s="72" t="b">
        <f>E6='TK theo ly do'!E6</f>
        <v>1</v>
      </c>
      <c r="L6" s="72" t="b">
        <f>F6='TK theo ly do'!F6</f>
        <v>1</v>
      </c>
    </row>
    <row r="7" spans="1:8" s="9" customFormat="1" ht="15.75" customHeight="1">
      <c r="A7" s="81" t="s">
        <v>16</v>
      </c>
      <c r="B7" s="34" t="s">
        <v>24</v>
      </c>
      <c r="C7" s="8">
        <f>COUNTIF(Danhsach!$F$10:$F$10063,'TK theo Loai viec'!$B7)</f>
        <v>61</v>
      </c>
      <c r="D7" s="8">
        <f>SUMIF(Danhsach!$F$10:$F$10063,'TK theo Loai viec'!$B7,Danhsach!J$10:J$10063)</f>
        <v>4314826</v>
      </c>
      <c r="E7" s="8">
        <f>SUMIF(Danhsach!$F$10:$F$10063,'TK theo Loai viec'!$B7,Danhsach!K$10:K$10063)</f>
        <v>29474</v>
      </c>
      <c r="F7" s="8">
        <f>SUMIF(Danhsach!$F$10:$F$10063,'TK theo Loai viec'!$B7,Danhsach!L$10:L$10063)</f>
        <v>4285352</v>
      </c>
      <c r="G7" s="35"/>
      <c r="H7" s="82"/>
    </row>
    <row r="8" spans="1:8" s="9" customFormat="1" ht="15.75" customHeight="1">
      <c r="A8" s="81" t="s">
        <v>17</v>
      </c>
      <c r="B8" s="34" t="s">
        <v>129</v>
      </c>
      <c r="C8" s="8">
        <f>COUNTIF(Danhsach!$F$10:$F$10063,'TK theo Loai viec'!$B8)</f>
        <v>70</v>
      </c>
      <c r="D8" s="8">
        <f>SUMIF(Danhsach!$F$10:$F$10063,'TK theo Loai viec'!$B8,Danhsach!J$10:J$10063)</f>
        <v>36810577</v>
      </c>
      <c r="E8" s="8">
        <f>SUMIF(Danhsach!$F$10:$F$10063,'TK theo Loai viec'!$B8,Danhsach!K$10:K$10063)</f>
        <v>1030000</v>
      </c>
      <c r="F8" s="8">
        <f>SUMIF(Danhsach!$F$10:$F$10063,'TK theo Loai viec'!$B8,Danhsach!L$10:L$10063)</f>
        <v>35780577</v>
      </c>
      <c r="G8" s="35"/>
      <c r="H8" s="82"/>
    </row>
    <row r="9" spans="1:12" s="9" customFormat="1" ht="15.75" customHeight="1">
      <c r="A9" s="79" t="s">
        <v>117</v>
      </c>
      <c r="B9" s="32" t="s">
        <v>128</v>
      </c>
      <c r="C9" s="7">
        <f>IF(SUM(C10:C19)=Danhsach!G8,SUM(C10:C19),"Kiểm tra lại")</f>
        <v>131</v>
      </c>
      <c r="D9" s="7">
        <f>IF(SUM(D10:D19)=Danhsach!J8,SUM(D10:D19),"Kiểm tra lại")</f>
        <v>41125403</v>
      </c>
      <c r="E9" s="7">
        <f>IF(SUM(E10:E19)=Danhsach!K8,SUM(E10:E19),"Kiểm tra lại")</f>
        <v>1059474</v>
      </c>
      <c r="F9" s="7">
        <f>IF(SUM(F10:F19)=Danhsach!L8,SUM(F10:F19),"Kiểm tra lại")</f>
        <v>40065929</v>
      </c>
      <c r="G9" s="33"/>
      <c r="H9" s="80"/>
      <c r="I9" s="72" t="b">
        <f>C9='TK theo ly do'!C6</f>
        <v>1</v>
      </c>
      <c r="J9" s="72" t="b">
        <f>D9='TK theo ly do'!D6</f>
        <v>1</v>
      </c>
      <c r="K9" s="72" t="b">
        <f>E9='TK theo ly do'!E6</f>
        <v>1</v>
      </c>
      <c r="L9" s="72" t="b">
        <f>F9='TK theo ly do'!F6</f>
        <v>1</v>
      </c>
    </row>
    <row r="10" spans="1:8" s="9" customFormat="1" ht="15.75" customHeight="1">
      <c r="A10" s="81" t="s">
        <v>8</v>
      </c>
      <c r="B10" s="34" t="s">
        <v>96</v>
      </c>
      <c r="C10" s="8">
        <f>COUNTIF(Danhsach!$G$10:$G$10063,'TK theo Loai viec'!$B10)</f>
        <v>90</v>
      </c>
      <c r="D10" s="8">
        <f>SUMIF(Danhsach!$G$10:$G$10063,'TK theo Loai viec'!$B10,Danhsach!J$10:J$10063)</f>
        <v>35544378</v>
      </c>
      <c r="E10" s="8">
        <f>SUMIF(Danhsach!$G$10:$G$10063,'TK theo Loai viec'!$B10,Danhsach!K$10:K$10063)</f>
        <v>1030000</v>
      </c>
      <c r="F10" s="8">
        <f>SUMIF(Danhsach!$G$10:$G$10063,'TK theo Loai viec'!$B10,Danhsach!L$10:L$10063)</f>
        <v>34514378</v>
      </c>
      <c r="G10" s="35"/>
      <c r="H10" s="82"/>
    </row>
    <row r="11" spans="1:8" s="9" customFormat="1" ht="15.75" customHeight="1">
      <c r="A11" s="81" t="s">
        <v>9</v>
      </c>
      <c r="B11" s="34" t="s">
        <v>97</v>
      </c>
      <c r="C11" s="8">
        <f>COUNTIF(Danhsach!$G$10:$G$10063,'TK theo Loai viec'!$B11)</f>
        <v>38</v>
      </c>
      <c r="D11" s="8">
        <f>SUMIF(Danhsach!$G$10:$G$10063,'TK theo Loai viec'!$B11,Danhsach!J$10:J$10063)</f>
        <v>5429825</v>
      </c>
      <c r="E11" s="8">
        <f>SUMIF(Danhsach!$G$10:$G$10063,'TK theo Loai viec'!$B11,Danhsach!K$10:K$10063)</f>
        <v>29474</v>
      </c>
      <c r="F11" s="8">
        <f>SUMIF(Danhsach!$G$10:$G$10063,'TK theo Loai viec'!$B11,Danhsach!L$10:L$10063)</f>
        <v>5400351</v>
      </c>
      <c r="G11" s="35"/>
      <c r="H11" s="82"/>
    </row>
    <row r="12" spans="1:8" s="9" customFormat="1" ht="15.75" customHeight="1">
      <c r="A12" s="81" t="s">
        <v>10</v>
      </c>
      <c r="B12" s="34" t="s">
        <v>98</v>
      </c>
      <c r="C12" s="8">
        <f>COUNTIF(Danhsach!$G$10:$G$10063,'TK theo Loai viec'!$B12)</f>
        <v>0</v>
      </c>
      <c r="D12" s="8">
        <f>SUMIF(Danhsach!$G$10:$G$10063,'TK theo Loai viec'!$B12,Danhsach!J$10:J$10063)</f>
        <v>0</v>
      </c>
      <c r="E12" s="8">
        <f>SUMIF(Danhsach!$G$10:$G$10063,'TK theo Loai viec'!$B12,Danhsach!K$10:K$10063)</f>
        <v>0</v>
      </c>
      <c r="F12" s="8">
        <f>SUMIF(Danhsach!$G$10:$G$10063,'TK theo Loai viec'!$B12,Danhsach!L$10:L$10063)</f>
        <v>0</v>
      </c>
      <c r="G12" s="35"/>
      <c r="H12" s="82"/>
    </row>
    <row r="13" spans="1:8" s="9" customFormat="1" ht="15.75" customHeight="1">
      <c r="A13" s="81" t="s">
        <v>11</v>
      </c>
      <c r="B13" s="34" t="s">
        <v>99</v>
      </c>
      <c r="C13" s="8">
        <f>COUNTIF(Danhsach!$G$10:$G$10063,'TK theo Loai viec'!$B13)</f>
        <v>3</v>
      </c>
      <c r="D13" s="8">
        <f>SUMIF(Danhsach!$G$10:$G$10063,'TK theo Loai viec'!$B13,Danhsach!J$10:J$10063)</f>
        <v>151200</v>
      </c>
      <c r="E13" s="8">
        <f>SUMIF(Danhsach!$G$10:$G$10063,'TK theo Loai viec'!$B13,Danhsach!K$10:K$10063)</f>
        <v>0</v>
      </c>
      <c r="F13" s="8">
        <f>SUMIF(Danhsach!$G$10:$G$10063,'TK theo Loai viec'!$B13,Danhsach!L$10:L$10063)</f>
        <v>151200</v>
      </c>
      <c r="G13" s="35"/>
      <c r="H13" s="82"/>
    </row>
    <row r="14" spans="1:8" s="9" customFormat="1" ht="15.75" customHeight="1">
      <c r="A14" s="81" t="s">
        <v>12</v>
      </c>
      <c r="B14" s="34" t="s">
        <v>100</v>
      </c>
      <c r="C14" s="8">
        <f>COUNTIF(Danhsach!$G$10:$G$10063,'TK theo Loai viec'!$B14)</f>
        <v>0</v>
      </c>
      <c r="D14" s="8">
        <f>SUMIF(Danhsach!$G$10:$G$10063,'TK theo Loai viec'!$B14,Danhsach!J$10:J$10063)</f>
        <v>0</v>
      </c>
      <c r="E14" s="8">
        <f>SUMIF(Danhsach!$G$10:$G$10063,'TK theo Loai viec'!$B14,Danhsach!K$10:K$10063)</f>
        <v>0</v>
      </c>
      <c r="F14" s="8">
        <f>SUMIF(Danhsach!$G$10:$G$10063,'TK theo Loai viec'!$B14,Danhsach!L$10:L$10063)</f>
        <v>0</v>
      </c>
      <c r="G14" s="35"/>
      <c r="H14" s="82"/>
    </row>
    <row r="15" spans="1:8" s="9" customFormat="1" ht="15.75" customHeight="1">
      <c r="A15" s="81" t="s">
        <v>18</v>
      </c>
      <c r="B15" s="34" t="s">
        <v>101</v>
      </c>
      <c r="C15" s="8">
        <f>COUNTIF(Danhsach!$G$10:$G$10063,'TK theo Loai viec'!$B15)</f>
        <v>0</v>
      </c>
      <c r="D15" s="8">
        <f>SUMIF(Danhsach!$G$10:$G$10063,'TK theo Loai viec'!$B15,Danhsach!J$10:J$10063)</f>
        <v>0</v>
      </c>
      <c r="E15" s="8">
        <f>SUMIF(Danhsach!$G$10:$G$10063,'TK theo Loai viec'!$B15,Danhsach!K$10:K$10063)</f>
        <v>0</v>
      </c>
      <c r="F15" s="8">
        <f>SUMIF(Danhsach!$G$10:$G$10063,'TK theo Loai viec'!$B15,Danhsach!L$10:L$10063)</f>
        <v>0</v>
      </c>
      <c r="G15" s="35"/>
      <c r="H15" s="82"/>
    </row>
    <row r="16" spans="1:8" s="9" customFormat="1" ht="15.75" customHeight="1">
      <c r="A16" s="81" t="s">
        <v>60</v>
      </c>
      <c r="B16" s="34" t="s">
        <v>102</v>
      </c>
      <c r="C16" s="8">
        <f>COUNTIF(Danhsach!$G$10:$G$10063,'TK theo Loai viec'!$B16)</f>
        <v>0</v>
      </c>
      <c r="D16" s="8">
        <f>SUMIF(Danhsach!$G$10:$G$10063,'TK theo Loai viec'!$B16,Danhsach!J$10:J$10063)</f>
        <v>0</v>
      </c>
      <c r="E16" s="8">
        <f>SUMIF(Danhsach!$G$10:$G$10063,'TK theo Loai viec'!$B16,Danhsach!K$10:K$10063)</f>
        <v>0</v>
      </c>
      <c r="F16" s="8">
        <f>SUMIF(Danhsach!$G$10:$G$10063,'TK theo Loai viec'!$B16,Danhsach!L$10:L$10063)</f>
        <v>0</v>
      </c>
      <c r="G16" s="35"/>
      <c r="H16" s="82"/>
    </row>
    <row r="17" spans="1:8" s="9" customFormat="1" ht="15.75" customHeight="1">
      <c r="A17" s="81" t="s">
        <v>61</v>
      </c>
      <c r="B17" s="34" t="s">
        <v>103</v>
      </c>
      <c r="C17" s="8">
        <f>COUNTIF(Danhsach!$G$10:$G$10063,'TK theo Loai viec'!$B17)</f>
        <v>0</v>
      </c>
      <c r="D17" s="8">
        <f>SUMIF(Danhsach!$G$10:$G$10063,'TK theo Loai viec'!$B17,Danhsach!J$10:J$10063)</f>
        <v>0</v>
      </c>
      <c r="E17" s="8">
        <f>SUMIF(Danhsach!$G$10:$G$10063,'TK theo Loai viec'!$B17,Danhsach!K$10:K$10063)</f>
        <v>0</v>
      </c>
      <c r="F17" s="8">
        <f>SUMIF(Danhsach!$G$10:$G$10063,'TK theo Loai viec'!$B17,Danhsach!L$10:L$10063)</f>
        <v>0</v>
      </c>
      <c r="G17" s="35"/>
      <c r="H17" s="82"/>
    </row>
    <row r="18" spans="1:8" s="9" customFormat="1" ht="15.75" customHeight="1">
      <c r="A18" s="81" t="s">
        <v>62</v>
      </c>
      <c r="B18" s="34" t="s">
        <v>104</v>
      </c>
      <c r="C18" s="8">
        <f>COUNTIF(Danhsach!$G$10:$G$10063,'TK theo Loai viec'!$B18)</f>
        <v>0</v>
      </c>
      <c r="D18" s="8">
        <f>SUMIF(Danhsach!$G$10:$G$10063,'TK theo Loai viec'!$B18,Danhsach!J$10:J$10063)</f>
        <v>0</v>
      </c>
      <c r="E18" s="8">
        <f>SUMIF(Danhsach!$G$10:$G$10063,'TK theo Loai viec'!$B18,Danhsach!K$10:K$10063)</f>
        <v>0</v>
      </c>
      <c r="F18" s="8">
        <f>SUMIF(Danhsach!$G$10:$G$10063,'TK theo Loai viec'!$B18,Danhsach!L$10:L$10063)</f>
        <v>0</v>
      </c>
      <c r="G18" s="35"/>
      <c r="H18" s="82"/>
    </row>
    <row r="19" spans="1:8" s="9" customFormat="1" ht="15.75" customHeight="1">
      <c r="A19" s="81" t="s">
        <v>107</v>
      </c>
      <c r="B19" s="34" t="s">
        <v>105</v>
      </c>
      <c r="C19" s="8">
        <f>COUNTIF(Danhsach!$G$10:$G$10063,'TK theo Loai viec'!$B19)</f>
        <v>0</v>
      </c>
      <c r="D19" s="8">
        <f>SUMIF(Danhsach!$G$10:$G$10063,'TK theo Loai viec'!$B19,Danhsach!J$10:J$10063)</f>
        <v>0</v>
      </c>
      <c r="E19" s="8">
        <f>SUMIF(Danhsach!$G$10:$G$10063,'TK theo Loai viec'!$B19,Danhsach!K$10:K$10063)</f>
        <v>0</v>
      </c>
      <c r="F19" s="8">
        <f>SUMIF(Danhsach!$G$10:$G$10063,'TK theo Loai viec'!$B19,Danhsach!L$10:L$10063)</f>
        <v>0</v>
      </c>
      <c r="G19" s="35"/>
      <c r="H19" s="82"/>
    </row>
    <row r="20" spans="2:7" ht="15.75" customHeight="1">
      <c r="B20" s="26"/>
      <c r="E20" s="141" t="s">
        <v>677</v>
      </c>
      <c r="F20" s="141"/>
      <c r="G20" s="141"/>
    </row>
    <row r="21" spans="2:7" ht="31.5" customHeight="1">
      <c r="B21" s="58" t="s">
        <v>90</v>
      </c>
      <c r="E21" s="153" t="s">
        <v>680</v>
      </c>
      <c r="F21" s="149"/>
      <c r="G21" s="149"/>
    </row>
    <row r="22" spans="1:7" ht="15.75" hidden="1">
      <c r="A22" s="10" t="s">
        <v>2</v>
      </c>
      <c r="B22" s="26" t="s">
        <v>91</v>
      </c>
      <c r="E22" s="141" t="s">
        <v>51</v>
      </c>
      <c r="F22" s="141"/>
      <c r="G22" s="141"/>
    </row>
    <row r="23" ht="15.75" hidden="1">
      <c r="B23" s="11" t="s">
        <v>3</v>
      </c>
    </row>
    <row r="24" ht="15.75" hidden="1">
      <c r="B24" s="12" t="s">
        <v>4</v>
      </c>
    </row>
    <row r="25" ht="15.75" hidden="1">
      <c r="B25" s="12" t="s">
        <v>5</v>
      </c>
    </row>
    <row r="26" ht="15.75" customHeight="1" hidden="1">
      <c r="B26" s="13" t="s">
        <v>6</v>
      </c>
    </row>
    <row r="27" spans="2:7" ht="15.75">
      <c r="B27" s="26"/>
      <c r="E27" s="154" t="s">
        <v>51</v>
      </c>
      <c r="F27" s="154"/>
      <c r="G27" s="154"/>
    </row>
  </sheetData>
  <sheetProtection password="C6EF" sheet="1" formatCells="0" formatColumns="0" formatRows="0"/>
  <mergeCells count="13">
    <mergeCell ref="A1:B1"/>
    <mergeCell ref="A2:B2"/>
    <mergeCell ref="E20:G20"/>
    <mergeCell ref="E21:G21"/>
    <mergeCell ref="E22:G22"/>
    <mergeCell ref="E27:G27"/>
    <mergeCell ref="A3:H3"/>
    <mergeCell ref="A4:A5"/>
    <mergeCell ref="B4:B5"/>
    <mergeCell ref="C4:C5"/>
    <mergeCell ref="D4:F4"/>
    <mergeCell ref="G4:G5"/>
    <mergeCell ref="H4:H5"/>
  </mergeCells>
  <conditionalFormatting sqref="C6:F19">
    <cfRule type="cellIs" priority="1" dxfId="1" operator="lessThan" stopIfTrue="1">
      <formula>0</formula>
    </cfRule>
    <cfRule type="cellIs" priority="2" dxfId="0" operator="equal" stopIfTrue="1">
      <formula>"Kiểm tra lại"</formula>
    </cfRule>
  </conditionalFormatting>
  <printOptions/>
  <pageMargins left="0.5" right="0.25" top="0.47" bottom="0" header="0.39" footer="0.19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26"/>
  <sheetViews>
    <sheetView zoomScale="90" zoomScaleNormal="90" zoomScalePageLayoutView="0" workbookViewId="0" topLeftCell="A1">
      <pane ySplit="1" topLeftCell="A17" activePane="bottomLeft" state="frozen"/>
      <selection pane="topLeft" activeCell="A1" sqref="A1"/>
      <selection pane="bottomLeft" activeCell="B36" sqref="B36"/>
    </sheetView>
  </sheetViews>
  <sheetFormatPr defaultColWidth="7.99609375" defaultRowHeight="18.75"/>
  <cols>
    <col min="1" max="1" width="5.21484375" style="1" customWidth="1"/>
    <col min="2" max="2" width="69.3359375" style="1" customWidth="1"/>
    <col min="3" max="3" width="4.21484375" style="1" customWidth="1"/>
    <col min="4" max="16384" width="7.99609375" style="1" customWidth="1"/>
  </cols>
  <sheetData>
    <row r="1" spans="1:2" ht="42.75" customHeight="1">
      <c r="A1" s="159" t="s">
        <v>19</v>
      </c>
      <c r="B1" s="159"/>
    </row>
    <row r="2" spans="1:2" ht="18" customHeight="1">
      <c r="A2" s="2" t="s">
        <v>106</v>
      </c>
      <c r="B2" s="21" t="s">
        <v>23</v>
      </c>
    </row>
    <row r="3" spans="1:2" ht="18" customHeight="1">
      <c r="A3" s="22" t="s">
        <v>16</v>
      </c>
      <c r="B3" s="57" t="s">
        <v>24</v>
      </c>
    </row>
    <row r="4" spans="1:2" ht="18" customHeight="1">
      <c r="A4" s="22" t="s">
        <v>17</v>
      </c>
      <c r="B4" s="57" t="s">
        <v>129</v>
      </c>
    </row>
    <row r="5" spans="1:2" ht="15.75">
      <c r="A5" s="2" t="s">
        <v>92</v>
      </c>
      <c r="B5" s="21" t="s">
        <v>95</v>
      </c>
    </row>
    <row r="6" spans="1:2" ht="15.75">
      <c r="A6" s="22" t="s">
        <v>8</v>
      </c>
      <c r="B6" s="57" t="s">
        <v>96</v>
      </c>
    </row>
    <row r="7" spans="1:2" ht="15.75">
      <c r="A7" s="22" t="s">
        <v>9</v>
      </c>
      <c r="B7" s="57" t="s">
        <v>97</v>
      </c>
    </row>
    <row r="8" spans="1:2" ht="15.75">
      <c r="A8" s="22" t="s">
        <v>10</v>
      </c>
      <c r="B8" s="61" t="s">
        <v>98</v>
      </c>
    </row>
    <row r="9" spans="1:2" ht="15.75">
      <c r="A9" s="22" t="s">
        <v>11</v>
      </c>
      <c r="B9" s="57" t="s">
        <v>99</v>
      </c>
    </row>
    <row r="10" spans="1:2" ht="15.75">
      <c r="A10" s="22" t="s">
        <v>12</v>
      </c>
      <c r="B10" s="57" t="s">
        <v>100</v>
      </c>
    </row>
    <row r="11" spans="1:2" ht="15.75">
      <c r="A11" s="22" t="s">
        <v>18</v>
      </c>
      <c r="B11" s="61" t="s">
        <v>101</v>
      </c>
    </row>
    <row r="12" spans="1:2" ht="15.75">
      <c r="A12" s="22" t="s">
        <v>60</v>
      </c>
      <c r="B12" s="57" t="s">
        <v>102</v>
      </c>
    </row>
    <row r="13" spans="1:2" ht="15.75">
      <c r="A13" s="22" t="s">
        <v>61</v>
      </c>
      <c r="B13" s="57" t="s">
        <v>103</v>
      </c>
    </row>
    <row r="14" spans="1:2" ht="15.75">
      <c r="A14" s="22" t="s">
        <v>62</v>
      </c>
      <c r="B14" s="61" t="s">
        <v>104</v>
      </c>
    </row>
    <row r="15" spans="1:2" ht="15.75">
      <c r="A15" s="22" t="s">
        <v>107</v>
      </c>
      <c r="B15" s="57" t="s">
        <v>105</v>
      </c>
    </row>
    <row r="16" spans="1:2" ht="15.75">
      <c r="A16" s="2" t="s">
        <v>93</v>
      </c>
      <c r="B16" s="21" t="s">
        <v>59</v>
      </c>
    </row>
    <row r="17" spans="1:2" ht="15.75">
      <c r="A17" s="62" t="s">
        <v>13</v>
      </c>
      <c r="B17" s="63" t="s">
        <v>138</v>
      </c>
    </row>
    <row r="18" spans="1:2" ht="31.5">
      <c r="A18" s="62" t="s">
        <v>14</v>
      </c>
      <c r="B18" s="63" t="s">
        <v>151</v>
      </c>
    </row>
    <row r="19" spans="1:2" ht="15.75">
      <c r="A19" s="62" t="s">
        <v>94</v>
      </c>
      <c r="B19" s="63" t="s">
        <v>139</v>
      </c>
    </row>
    <row r="20" spans="1:2" ht="31.5">
      <c r="A20" s="62" t="s">
        <v>109</v>
      </c>
      <c r="B20" s="63" t="s">
        <v>140</v>
      </c>
    </row>
    <row r="21" spans="1:2" ht="31.5">
      <c r="A21" s="62" t="s">
        <v>110</v>
      </c>
      <c r="B21" s="63" t="s">
        <v>141</v>
      </c>
    </row>
    <row r="22" spans="1:2" ht="31.5">
      <c r="A22" s="62" t="s">
        <v>111</v>
      </c>
      <c r="B22" s="63" t="s">
        <v>142</v>
      </c>
    </row>
    <row r="23" spans="1:2" ht="31.5">
      <c r="A23" s="62" t="s">
        <v>112</v>
      </c>
      <c r="B23" s="63" t="s">
        <v>143</v>
      </c>
    </row>
    <row r="24" spans="1:2" ht="31.5">
      <c r="A24" s="62" t="s">
        <v>113</v>
      </c>
      <c r="B24" s="63" t="s">
        <v>144</v>
      </c>
    </row>
    <row r="25" spans="1:2" ht="15.75">
      <c r="A25" s="62" t="s">
        <v>114</v>
      </c>
      <c r="B25" s="63" t="s">
        <v>145</v>
      </c>
    </row>
    <row r="26" spans="1:2" ht="31.5">
      <c r="A26" s="62" t="s">
        <v>115</v>
      </c>
      <c r="B26" s="63" t="s">
        <v>152</v>
      </c>
    </row>
  </sheetData>
  <sheetProtection password="C6EF" sheet="1"/>
  <mergeCells count="1">
    <mergeCell ref="A1:B1"/>
  </mergeCells>
  <printOptions/>
  <pageMargins left="0.5" right="0.25" top="0.2" bottom="0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IV14"/>
    </sheetView>
  </sheetViews>
  <sheetFormatPr defaultColWidth="8.88671875" defaultRowHeight="18.75"/>
  <cols>
    <col min="2" max="2" width="51.77734375" style="0" customWidth="1"/>
  </cols>
  <sheetData>
    <row r="1" spans="1:2" s="1" customFormat="1" ht="18.75" customHeight="1">
      <c r="A1" s="48" t="s">
        <v>7</v>
      </c>
      <c r="B1" s="49" t="s">
        <v>64</v>
      </c>
    </row>
    <row r="2" spans="1:2" s="1" customFormat="1" ht="18.75" customHeight="1">
      <c r="A2" s="50" t="s">
        <v>15</v>
      </c>
      <c r="B2" s="51" t="s">
        <v>71</v>
      </c>
    </row>
    <row r="3" spans="1:2" s="1" customFormat="1" ht="18.75" customHeight="1">
      <c r="A3" s="52" t="s">
        <v>78</v>
      </c>
      <c r="B3" s="53" t="s">
        <v>65</v>
      </c>
    </row>
    <row r="4" spans="1:2" s="1" customFormat="1" ht="31.5">
      <c r="A4" s="52" t="s">
        <v>79</v>
      </c>
      <c r="B4" s="53" t="s">
        <v>66</v>
      </c>
    </row>
    <row r="5" spans="1:2" s="1" customFormat="1" ht="15.75">
      <c r="A5" s="52" t="s">
        <v>80</v>
      </c>
      <c r="B5" s="53" t="s">
        <v>67</v>
      </c>
    </row>
    <row r="6" spans="1:2" s="1" customFormat="1" ht="31.5">
      <c r="A6" s="52" t="s">
        <v>81</v>
      </c>
      <c r="B6" s="53" t="s">
        <v>68</v>
      </c>
    </row>
    <row r="7" spans="1:2" s="1" customFormat="1" ht="30.75" customHeight="1">
      <c r="A7" s="52" t="s">
        <v>82</v>
      </c>
      <c r="B7" s="53" t="s">
        <v>69</v>
      </c>
    </row>
    <row r="8" spans="1:2" s="1" customFormat="1" ht="15.75">
      <c r="A8" s="50" t="s">
        <v>25</v>
      </c>
      <c r="B8" s="54" t="s">
        <v>70</v>
      </c>
    </row>
    <row r="9" spans="1:2" s="1" customFormat="1" ht="37.5" customHeight="1">
      <c r="A9" s="52" t="s">
        <v>83</v>
      </c>
      <c r="B9" s="53" t="s">
        <v>72</v>
      </c>
    </row>
    <row r="10" spans="1:2" s="1" customFormat="1" ht="31.5">
      <c r="A10" s="52" t="s">
        <v>84</v>
      </c>
      <c r="B10" s="53" t="s">
        <v>73</v>
      </c>
    </row>
    <row r="11" spans="1:2" s="1" customFormat="1" ht="31.5">
      <c r="A11" s="52" t="s">
        <v>85</v>
      </c>
      <c r="B11" s="53" t="s">
        <v>74</v>
      </c>
    </row>
    <row r="12" spans="1:2" s="1" customFormat="1" ht="15.75">
      <c r="A12" s="50" t="s">
        <v>77</v>
      </c>
      <c r="B12" s="54" t="s">
        <v>75</v>
      </c>
    </row>
    <row r="13" spans="1:2" s="1" customFormat="1" ht="15.75">
      <c r="A13" s="52" t="s">
        <v>87</v>
      </c>
      <c r="B13" s="55" t="s">
        <v>76</v>
      </c>
    </row>
    <row r="14" spans="1:2" s="1" customFormat="1" ht="31.5">
      <c r="A14" s="52" t="s">
        <v>86</v>
      </c>
      <c r="B14" s="55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D1:G248"/>
  <sheetViews>
    <sheetView zoomScalePageLayoutView="0" workbookViewId="0" topLeftCell="A222">
      <selection activeCell="G249" sqref="G249"/>
    </sheetView>
  </sheetViews>
  <sheetFormatPr defaultColWidth="8.88671875" defaultRowHeight="18.75"/>
  <cols>
    <col min="4" max="4" width="11.4453125" style="0" bestFit="1" customWidth="1"/>
    <col min="6" max="6" width="11.4453125" style="0" bestFit="1" customWidth="1"/>
    <col min="7" max="7" width="13.4453125" style="0" customWidth="1"/>
  </cols>
  <sheetData>
    <row r="1" ht="18.75">
      <c r="D1" s="112">
        <f>SUM(D2:D199)</f>
        <v>17041627</v>
      </c>
    </row>
    <row r="2" spans="4:6" ht="18.75">
      <c r="D2" s="84">
        <f>3559+502</f>
        <v>4061</v>
      </c>
      <c r="F2" s="85">
        <f>D2-E2</f>
        <v>4061</v>
      </c>
    </row>
    <row r="3" spans="4:6" ht="18.75">
      <c r="D3" s="84">
        <v>10000</v>
      </c>
      <c r="F3" s="85">
        <f aca="true" t="shared" si="0" ref="F3:F65">D3-E3</f>
        <v>10000</v>
      </c>
    </row>
    <row r="4" spans="4:6" ht="18.75">
      <c r="D4" s="111">
        <v>9700</v>
      </c>
      <c r="F4" s="85">
        <f>D4-E4</f>
        <v>9700</v>
      </c>
    </row>
    <row r="5" spans="4:6" ht="18.75">
      <c r="D5" s="86">
        <v>579</v>
      </c>
      <c r="F5" s="85">
        <f t="shared" si="0"/>
        <v>579</v>
      </c>
    </row>
    <row r="6" spans="4:6" ht="18.75">
      <c r="D6" s="86">
        <v>8184</v>
      </c>
      <c r="F6" s="85">
        <f t="shared" si="0"/>
        <v>8184</v>
      </c>
    </row>
    <row r="7" spans="4:6" ht="18.75">
      <c r="D7" s="86">
        <v>523</v>
      </c>
      <c r="F7" s="85">
        <f t="shared" si="0"/>
        <v>523</v>
      </c>
    </row>
    <row r="8" spans="4:6" ht="18.75">
      <c r="D8" s="86">
        <v>11650</v>
      </c>
      <c r="F8" s="85">
        <f t="shared" si="0"/>
        <v>11650</v>
      </c>
    </row>
    <row r="9" spans="4:6" ht="18.75">
      <c r="D9" s="86">
        <v>990</v>
      </c>
      <c r="F9" s="85">
        <f t="shared" si="0"/>
        <v>990</v>
      </c>
    </row>
    <row r="10" spans="4:6" ht="18.75">
      <c r="D10" s="86">
        <f>5000+200</f>
        <v>5200</v>
      </c>
      <c r="F10" s="85">
        <f t="shared" si="0"/>
        <v>5200</v>
      </c>
    </row>
    <row r="11" spans="4:6" ht="18.75">
      <c r="D11" s="85">
        <v>50</v>
      </c>
      <c r="F11" s="85">
        <f t="shared" si="0"/>
        <v>50</v>
      </c>
    </row>
    <row r="12" spans="4:6" ht="18.75">
      <c r="D12" s="85">
        <v>3000</v>
      </c>
      <c r="F12" s="85">
        <f t="shared" si="0"/>
        <v>3000</v>
      </c>
    </row>
    <row r="13" spans="4:6" ht="18.75">
      <c r="D13" s="85">
        <v>8000</v>
      </c>
      <c r="F13" s="85">
        <f t="shared" si="0"/>
        <v>8000</v>
      </c>
    </row>
    <row r="14" spans="4:6" ht="18.75">
      <c r="D14" s="85">
        <f>8000</f>
        <v>8000</v>
      </c>
      <c r="F14" s="85">
        <f t="shared" si="0"/>
        <v>8000</v>
      </c>
    </row>
    <row r="15" spans="4:6" ht="18.75">
      <c r="D15" s="85">
        <v>10000</v>
      </c>
      <c r="F15" s="85">
        <f t="shared" si="0"/>
        <v>10000</v>
      </c>
    </row>
    <row r="16" spans="4:6" ht="18.75">
      <c r="D16" s="85">
        <v>5200</v>
      </c>
      <c r="F16" s="85">
        <f t="shared" si="0"/>
        <v>5200</v>
      </c>
    </row>
    <row r="17" spans="4:6" ht="18.75">
      <c r="D17" s="85">
        <f>8500+5000</f>
        <v>13500</v>
      </c>
      <c r="F17" s="85">
        <f t="shared" si="0"/>
        <v>13500</v>
      </c>
    </row>
    <row r="18" spans="4:6" ht="18.75">
      <c r="D18" s="85">
        <v>15000</v>
      </c>
      <c r="F18" s="85">
        <f t="shared" si="0"/>
        <v>15000</v>
      </c>
    </row>
    <row r="19" spans="4:6" ht="18.75">
      <c r="D19" s="85">
        <v>5450</v>
      </c>
      <c r="F19" s="85">
        <f t="shared" si="0"/>
        <v>5450</v>
      </c>
    </row>
    <row r="20" spans="4:6" ht="18.75">
      <c r="D20" s="85">
        <v>400</v>
      </c>
      <c r="F20" s="85">
        <f t="shared" si="0"/>
        <v>400</v>
      </c>
    </row>
    <row r="21" spans="4:6" ht="18.75">
      <c r="D21" s="85">
        <v>410</v>
      </c>
      <c r="F21" s="85">
        <f t="shared" si="0"/>
        <v>410</v>
      </c>
    </row>
    <row r="22" spans="4:6" ht="18.75">
      <c r="D22" s="85">
        <v>45000</v>
      </c>
      <c r="F22" s="85">
        <f t="shared" si="0"/>
        <v>45000</v>
      </c>
    </row>
    <row r="23" spans="4:6" ht="18.75">
      <c r="D23" s="85">
        <v>229241</v>
      </c>
      <c r="F23" s="85">
        <f t="shared" si="0"/>
        <v>229241</v>
      </c>
    </row>
    <row r="24" spans="4:6" ht="18.75">
      <c r="D24" s="85">
        <v>2750</v>
      </c>
      <c r="F24" s="85">
        <f t="shared" si="0"/>
        <v>2750</v>
      </c>
    </row>
    <row r="25" spans="4:6" ht="18.75">
      <c r="D25" s="85">
        <v>992</v>
      </c>
      <c r="F25" s="85">
        <f t="shared" si="0"/>
        <v>992</v>
      </c>
    </row>
    <row r="26" spans="4:6" ht="18.75">
      <c r="D26" s="85">
        <v>3200</v>
      </c>
      <c r="F26" s="85">
        <f t="shared" si="0"/>
        <v>3200</v>
      </c>
    </row>
    <row r="27" spans="4:6" ht="18.75">
      <c r="D27" s="85">
        <v>636</v>
      </c>
      <c r="F27" s="85">
        <f t="shared" si="0"/>
        <v>636</v>
      </c>
    </row>
    <row r="28" spans="4:6" ht="18.75">
      <c r="D28" s="85">
        <v>30200</v>
      </c>
      <c r="F28" s="85">
        <f t="shared" si="0"/>
        <v>30200</v>
      </c>
    </row>
    <row r="29" spans="4:6" ht="18.75">
      <c r="D29" s="85">
        <v>3266</v>
      </c>
      <c r="F29" s="85">
        <f t="shared" si="0"/>
        <v>3266</v>
      </c>
    </row>
    <row r="30" spans="4:6" ht="18.75">
      <c r="D30" s="85">
        <f>91632</f>
        <v>91632</v>
      </c>
      <c r="F30" s="85">
        <f t="shared" si="0"/>
        <v>91632</v>
      </c>
    </row>
    <row r="31" spans="4:6" ht="18.75">
      <c r="D31" s="85">
        <f>33562</f>
        <v>33562</v>
      </c>
      <c r="F31" s="85">
        <f t="shared" si="0"/>
        <v>33562</v>
      </c>
    </row>
    <row r="32" spans="4:6" ht="18.75">
      <c r="D32" s="85">
        <v>4535</v>
      </c>
      <c r="F32" s="85">
        <f t="shared" si="0"/>
        <v>4535</v>
      </c>
    </row>
    <row r="33" spans="4:6" ht="18.75">
      <c r="D33" s="85">
        <v>4558</v>
      </c>
      <c r="F33" s="85">
        <f t="shared" si="0"/>
        <v>4558</v>
      </c>
    </row>
    <row r="34" spans="4:6" ht="18.75">
      <c r="D34" s="85">
        <v>5000</v>
      </c>
      <c r="F34" s="85">
        <f t="shared" si="0"/>
        <v>5000</v>
      </c>
    </row>
    <row r="35" spans="4:6" ht="18.75">
      <c r="D35" s="85">
        <v>4951</v>
      </c>
      <c r="F35" s="85">
        <f t="shared" si="0"/>
        <v>4951</v>
      </c>
    </row>
    <row r="36" spans="4:6" ht="18.75">
      <c r="D36" s="85">
        <v>1850</v>
      </c>
      <c r="F36" s="85">
        <f t="shared" si="0"/>
        <v>1850</v>
      </c>
    </row>
    <row r="37" spans="4:6" ht="18.75">
      <c r="D37" s="85">
        <v>5400</v>
      </c>
      <c r="F37" s="85">
        <f t="shared" si="0"/>
        <v>5400</v>
      </c>
    </row>
    <row r="38" spans="4:6" ht="18.75">
      <c r="D38" s="85">
        <v>4250</v>
      </c>
      <c r="F38" s="85">
        <f t="shared" si="0"/>
        <v>4250</v>
      </c>
    </row>
    <row r="39" spans="4:6" ht="18.75">
      <c r="D39" s="85">
        <v>4000</v>
      </c>
      <c r="F39" s="85">
        <f t="shared" si="0"/>
        <v>4000</v>
      </c>
    </row>
    <row r="40" spans="4:6" ht="18.75">
      <c r="D40" s="85">
        <v>400</v>
      </c>
      <c r="F40" s="85">
        <f t="shared" si="0"/>
        <v>400</v>
      </c>
    </row>
    <row r="41" spans="4:6" ht="18.75">
      <c r="D41" s="85">
        <v>400</v>
      </c>
      <c r="F41" s="85">
        <f t="shared" si="0"/>
        <v>400</v>
      </c>
    </row>
    <row r="42" spans="4:6" ht="18.75">
      <c r="D42" s="85">
        <v>12550</v>
      </c>
      <c r="F42" s="85">
        <f t="shared" si="0"/>
        <v>12550</v>
      </c>
    </row>
    <row r="43" spans="4:6" ht="18.75">
      <c r="D43" s="85">
        <v>6000</v>
      </c>
      <c r="F43" s="85">
        <f t="shared" si="0"/>
        <v>6000</v>
      </c>
    </row>
    <row r="44" spans="4:6" ht="18.75">
      <c r="D44" s="85">
        <v>1675</v>
      </c>
      <c r="F44" s="85">
        <f t="shared" si="0"/>
        <v>1675</v>
      </c>
    </row>
    <row r="45" spans="4:6" ht="18.75">
      <c r="D45" s="85">
        <v>3450</v>
      </c>
      <c r="F45" s="85">
        <f t="shared" si="0"/>
        <v>3450</v>
      </c>
    </row>
    <row r="46" spans="4:6" ht="18.75">
      <c r="D46" s="85">
        <f>200+10000</f>
        <v>10200</v>
      </c>
      <c r="F46" s="85">
        <f t="shared" si="0"/>
        <v>10200</v>
      </c>
    </row>
    <row r="47" spans="4:6" ht="18.75">
      <c r="D47" s="85">
        <f>32200</f>
        <v>32200</v>
      </c>
      <c r="F47" s="85">
        <f t="shared" si="0"/>
        <v>32200</v>
      </c>
    </row>
    <row r="48" spans="4:6" ht="18.75">
      <c r="D48" s="85">
        <v>18765</v>
      </c>
      <c r="F48" s="85">
        <f t="shared" si="0"/>
        <v>18765</v>
      </c>
    </row>
    <row r="49" spans="4:6" ht="18.75">
      <c r="D49" s="85">
        <v>10200</v>
      </c>
      <c r="F49" s="85">
        <f t="shared" si="0"/>
        <v>10200</v>
      </c>
    </row>
    <row r="50" spans="4:6" ht="18.75">
      <c r="D50" s="85">
        <v>8113</v>
      </c>
      <c r="F50" s="85">
        <f t="shared" si="0"/>
        <v>8113</v>
      </c>
    </row>
    <row r="51" spans="4:6" ht="18.75">
      <c r="D51" s="85">
        <v>8063</v>
      </c>
      <c r="F51" s="85">
        <f t="shared" si="0"/>
        <v>8063</v>
      </c>
    </row>
    <row r="52" spans="4:6" ht="18.75">
      <c r="D52" s="85">
        <v>96809</v>
      </c>
      <c r="F52" s="85">
        <f t="shared" si="0"/>
        <v>96809</v>
      </c>
    </row>
    <row r="53" spans="4:6" ht="18.75">
      <c r="D53" s="85">
        <v>350625</v>
      </c>
      <c r="F53" s="85">
        <f t="shared" si="0"/>
        <v>350625</v>
      </c>
    </row>
    <row r="54" spans="4:6" ht="18.75">
      <c r="D54" s="85">
        <f>50000</f>
        <v>50000</v>
      </c>
      <c r="F54" s="85">
        <f t="shared" si="0"/>
        <v>50000</v>
      </c>
    </row>
    <row r="55" spans="4:6" ht="18.75">
      <c r="D55" s="85">
        <v>10245</v>
      </c>
      <c r="F55" s="85">
        <f t="shared" si="0"/>
        <v>10245</v>
      </c>
    </row>
    <row r="56" spans="4:6" ht="18.75">
      <c r="D56" s="85">
        <v>47100</v>
      </c>
      <c r="F56" s="85">
        <f t="shared" si="0"/>
        <v>47100</v>
      </c>
    </row>
    <row r="57" spans="4:6" ht="18.75">
      <c r="D57" s="85">
        <v>26866</v>
      </c>
      <c r="F57" s="85">
        <f t="shared" si="0"/>
        <v>26866</v>
      </c>
    </row>
    <row r="58" spans="4:6" ht="18.75">
      <c r="D58" s="85">
        <v>3950</v>
      </c>
      <c r="F58" s="85">
        <f t="shared" si="0"/>
        <v>3950</v>
      </c>
    </row>
    <row r="59" spans="4:6" ht="18.75">
      <c r="D59" s="85">
        <v>17000</v>
      </c>
      <c r="F59" s="85">
        <f t="shared" si="0"/>
        <v>17000</v>
      </c>
    </row>
    <row r="60" spans="4:6" ht="18.75">
      <c r="D60" s="85">
        <v>9700</v>
      </c>
      <c r="F60" s="85">
        <f t="shared" si="0"/>
        <v>9700</v>
      </c>
    </row>
    <row r="61" spans="4:6" ht="18.75">
      <c r="D61" s="85">
        <v>681</v>
      </c>
      <c r="F61" s="85">
        <f t="shared" si="0"/>
        <v>681</v>
      </c>
    </row>
    <row r="62" spans="4:6" ht="18.75">
      <c r="D62" s="85">
        <v>1750</v>
      </c>
      <c r="F62" s="85">
        <f t="shared" si="0"/>
        <v>1750</v>
      </c>
    </row>
    <row r="63" spans="4:6" ht="18.75">
      <c r="D63" s="85">
        <v>31315</v>
      </c>
      <c r="F63" s="85">
        <f t="shared" si="0"/>
        <v>31315</v>
      </c>
    </row>
    <row r="64" spans="4:6" ht="18.75">
      <c r="D64" s="85">
        <v>70000</v>
      </c>
      <c r="F64" s="85">
        <f t="shared" si="0"/>
        <v>70000</v>
      </c>
    </row>
    <row r="65" spans="4:6" ht="18.75">
      <c r="D65" s="85">
        <v>2500</v>
      </c>
      <c r="F65" s="85">
        <f t="shared" si="0"/>
        <v>2500</v>
      </c>
    </row>
    <row r="66" spans="4:6" ht="18.75">
      <c r="D66" s="85">
        <v>50000</v>
      </c>
      <c r="F66" s="85">
        <f aca="true" t="shared" si="1" ref="F66:F92">D66-E66</f>
        <v>50000</v>
      </c>
    </row>
    <row r="67" spans="4:6" ht="18.75">
      <c r="D67" s="85">
        <v>6450</v>
      </c>
      <c r="F67" s="85">
        <f t="shared" si="1"/>
        <v>6450</v>
      </c>
    </row>
    <row r="68" spans="4:6" ht="18.75">
      <c r="D68" s="85">
        <v>7050</v>
      </c>
      <c r="F68" s="85">
        <f t="shared" si="1"/>
        <v>7050</v>
      </c>
    </row>
    <row r="69" spans="4:6" ht="18.75">
      <c r="D69" s="85">
        <v>141000</v>
      </c>
      <c r="F69" s="85">
        <f t="shared" si="1"/>
        <v>141000</v>
      </c>
    </row>
    <row r="70" spans="4:6" ht="18.75">
      <c r="D70" s="85">
        <v>1960</v>
      </c>
      <c r="F70" s="85">
        <f t="shared" si="1"/>
        <v>1960</v>
      </c>
    </row>
    <row r="71" spans="4:6" ht="18.75">
      <c r="D71" s="85">
        <v>20200</v>
      </c>
      <c r="F71" s="85">
        <f t="shared" si="1"/>
        <v>20200</v>
      </c>
    </row>
    <row r="72" spans="4:6" ht="18.75">
      <c r="D72" s="85">
        <v>51100</v>
      </c>
      <c r="F72" s="85">
        <f t="shared" si="1"/>
        <v>51100</v>
      </c>
    </row>
    <row r="73" spans="4:6" ht="18.75">
      <c r="D73" s="85">
        <v>9901</v>
      </c>
      <c r="F73" s="85">
        <f t="shared" si="1"/>
        <v>9901</v>
      </c>
    </row>
    <row r="74" spans="4:6" ht="18.75">
      <c r="D74" s="96">
        <v>23879</v>
      </c>
      <c r="F74" s="85">
        <f t="shared" si="1"/>
        <v>23879</v>
      </c>
    </row>
    <row r="75" spans="4:6" ht="18.75">
      <c r="D75" s="96">
        <v>7600</v>
      </c>
      <c r="F75" s="96">
        <f t="shared" si="1"/>
        <v>7600</v>
      </c>
    </row>
    <row r="76" spans="4:6" ht="18.75">
      <c r="D76" s="96">
        <v>21372</v>
      </c>
      <c r="F76" s="96">
        <f t="shared" si="1"/>
        <v>21372</v>
      </c>
    </row>
    <row r="77" spans="4:6" ht="18.75">
      <c r="D77" s="85">
        <v>166100</v>
      </c>
      <c r="F77" s="96">
        <f t="shared" si="1"/>
        <v>166100</v>
      </c>
    </row>
    <row r="78" spans="4:6" ht="18.75">
      <c r="D78" s="85">
        <v>7250</v>
      </c>
      <c r="F78" s="85">
        <f t="shared" si="1"/>
        <v>7250</v>
      </c>
    </row>
    <row r="79" spans="4:6" ht="18.75">
      <c r="D79" s="85">
        <v>15200</v>
      </c>
      <c r="F79" s="85">
        <f t="shared" si="1"/>
        <v>15200</v>
      </c>
    </row>
    <row r="80" spans="4:6" ht="18.75">
      <c r="D80" s="85">
        <v>4468</v>
      </c>
      <c r="F80" s="85">
        <f t="shared" si="1"/>
        <v>4468</v>
      </c>
    </row>
    <row r="81" spans="4:6" ht="18.75">
      <c r="D81" s="85">
        <v>21000</v>
      </c>
      <c r="F81" s="85">
        <f t="shared" si="1"/>
        <v>21000</v>
      </c>
    </row>
    <row r="82" spans="4:6" ht="18.75">
      <c r="D82" s="85">
        <v>81378</v>
      </c>
      <c r="F82" s="85">
        <f t="shared" si="1"/>
        <v>81378</v>
      </c>
    </row>
    <row r="83" spans="4:6" ht="18.75">
      <c r="D83" s="85">
        <v>55000</v>
      </c>
      <c r="F83" s="85">
        <f t="shared" si="1"/>
        <v>55000</v>
      </c>
    </row>
    <row r="84" spans="4:6" ht="18.75">
      <c r="D84" s="85">
        <v>21000</v>
      </c>
      <c r="F84" s="85">
        <f t="shared" si="1"/>
        <v>21000</v>
      </c>
    </row>
    <row r="85" spans="4:6" ht="18.75">
      <c r="D85" s="85">
        <v>5000</v>
      </c>
      <c r="F85" s="85">
        <f t="shared" si="1"/>
        <v>5000</v>
      </c>
    </row>
    <row r="86" spans="4:6" ht="18.75">
      <c r="D86" s="85">
        <v>3200</v>
      </c>
      <c r="F86" s="85">
        <f t="shared" si="1"/>
        <v>3200</v>
      </c>
    </row>
    <row r="87" spans="4:6" ht="18.75">
      <c r="D87" s="85">
        <v>10200</v>
      </c>
      <c r="F87" s="85">
        <f t="shared" si="1"/>
        <v>10200</v>
      </c>
    </row>
    <row r="88" spans="4:6" ht="18.75">
      <c r="D88" s="85">
        <v>1895</v>
      </c>
      <c r="F88" s="85">
        <f>D88-E88</f>
        <v>1895</v>
      </c>
    </row>
    <row r="89" spans="4:6" ht="18.75">
      <c r="D89" s="85">
        <v>18004</v>
      </c>
      <c r="F89" s="85">
        <f t="shared" si="1"/>
        <v>18004</v>
      </c>
    </row>
    <row r="90" spans="4:6" ht="18.75">
      <c r="D90" s="85">
        <v>10650</v>
      </c>
      <c r="F90" s="85">
        <f t="shared" si="1"/>
        <v>10650</v>
      </c>
    </row>
    <row r="91" spans="4:6" ht="18.75">
      <c r="D91" s="85">
        <v>600</v>
      </c>
      <c r="F91" s="85">
        <f t="shared" si="1"/>
        <v>600</v>
      </c>
    </row>
    <row r="92" spans="4:6" ht="18.75">
      <c r="D92" s="85">
        <v>4200</v>
      </c>
      <c r="F92" s="85">
        <f t="shared" si="1"/>
        <v>4200</v>
      </c>
    </row>
    <row r="93" spans="4:6" ht="18.75">
      <c r="D93" s="85">
        <v>11592</v>
      </c>
      <c r="F93" s="85">
        <f>D93-E93</f>
        <v>11592</v>
      </c>
    </row>
    <row r="94" spans="4:6" ht="18.75">
      <c r="D94" s="85">
        <v>5835</v>
      </c>
      <c r="F94" s="85">
        <f>D94-E94</f>
        <v>5835</v>
      </c>
    </row>
    <row r="95" spans="4:6" ht="18.75">
      <c r="D95" s="85">
        <v>3375</v>
      </c>
      <c r="F95" s="85">
        <f aca="true" t="shared" si="2" ref="F95:F158">D95-E95</f>
        <v>3375</v>
      </c>
    </row>
    <row r="96" spans="4:6" ht="18.75">
      <c r="D96" s="85">
        <v>36000</v>
      </c>
      <c r="F96" s="85">
        <f t="shared" si="2"/>
        <v>36000</v>
      </c>
    </row>
    <row r="97" spans="4:6" ht="18.75">
      <c r="D97" s="85">
        <v>6150</v>
      </c>
      <c r="F97" s="85">
        <f t="shared" si="2"/>
        <v>6150</v>
      </c>
    </row>
    <row r="98" spans="4:6" ht="18.75">
      <c r="D98" s="85">
        <v>28575</v>
      </c>
      <c r="F98" s="85">
        <f t="shared" si="2"/>
        <v>28575</v>
      </c>
    </row>
    <row r="99" spans="4:6" ht="18.75">
      <c r="D99" s="85">
        <v>3780</v>
      </c>
      <c r="F99" s="85">
        <f t="shared" si="2"/>
        <v>3780</v>
      </c>
    </row>
    <row r="100" spans="4:6" ht="18.75">
      <c r="D100" s="85">
        <v>75000</v>
      </c>
      <c r="F100" s="85">
        <f t="shared" si="2"/>
        <v>75000</v>
      </c>
    </row>
    <row r="101" spans="4:6" ht="18.75">
      <c r="D101" s="85">
        <v>5000</v>
      </c>
      <c r="F101" s="85">
        <f t="shared" si="2"/>
        <v>5000</v>
      </c>
    </row>
    <row r="102" spans="4:6" ht="18.75">
      <c r="D102" s="85">
        <v>850</v>
      </c>
      <c r="F102" s="85">
        <f t="shared" si="2"/>
        <v>850</v>
      </c>
    </row>
    <row r="103" spans="4:6" ht="18.75">
      <c r="D103" s="85">
        <v>13000</v>
      </c>
      <c r="F103" s="85">
        <f t="shared" si="2"/>
        <v>13000</v>
      </c>
    </row>
    <row r="104" spans="4:6" ht="18.75">
      <c r="D104" s="85">
        <v>13780</v>
      </c>
      <c r="F104" s="85">
        <f t="shared" si="2"/>
        <v>13780</v>
      </c>
    </row>
    <row r="105" spans="4:6" ht="18.75">
      <c r="D105" s="85">
        <v>1300</v>
      </c>
      <c r="F105" s="85">
        <f t="shared" si="2"/>
        <v>1300</v>
      </c>
    </row>
    <row r="106" spans="4:6" ht="18.75">
      <c r="D106" s="85">
        <v>500</v>
      </c>
      <c r="F106" s="85">
        <f t="shared" si="2"/>
        <v>500</v>
      </c>
    </row>
    <row r="107" spans="4:6" ht="18.75">
      <c r="D107" s="85">
        <v>21000</v>
      </c>
      <c r="F107" s="85">
        <f t="shared" si="2"/>
        <v>21000</v>
      </c>
    </row>
    <row r="108" spans="4:6" ht="18.75">
      <c r="D108" s="85">
        <v>2588</v>
      </c>
      <c r="F108" s="85">
        <f t="shared" si="2"/>
        <v>2588</v>
      </c>
    </row>
    <row r="109" spans="4:6" ht="18.75">
      <c r="D109" s="85">
        <v>402</v>
      </c>
      <c r="F109" s="85">
        <f t="shared" si="2"/>
        <v>402</v>
      </c>
    </row>
    <row r="110" spans="4:6" ht="18.75">
      <c r="D110" s="85">
        <v>10000</v>
      </c>
      <c r="F110" s="85">
        <f t="shared" si="2"/>
        <v>10000</v>
      </c>
    </row>
    <row r="111" spans="4:6" ht="18.75">
      <c r="D111" s="85">
        <v>400</v>
      </c>
      <c r="F111" s="85">
        <f t="shared" si="2"/>
        <v>400</v>
      </c>
    </row>
    <row r="112" spans="4:6" ht="18.75">
      <c r="D112" s="85">
        <v>27392</v>
      </c>
      <c r="F112" s="85">
        <f t="shared" si="2"/>
        <v>27392</v>
      </c>
    </row>
    <row r="113" spans="4:6" ht="18.75">
      <c r="D113" s="85">
        <v>520</v>
      </c>
      <c r="F113" s="85">
        <f t="shared" si="2"/>
        <v>520</v>
      </c>
    </row>
    <row r="114" spans="4:6" ht="18.75">
      <c r="D114" s="85">
        <v>1750</v>
      </c>
      <c r="F114" s="85">
        <f t="shared" si="2"/>
        <v>1750</v>
      </c>
    </row>
    <row r="115" spans="4:6" ht="18.75">
      <c r="D115" s="85">
        <v>3050</v>
      </c>
      <c r="F115" s="85">
        <f t="shared" si="2"/>
        <v>3050</v>
      </c>
    </row>
    <row r="116" spans="4:6" ht="18.75">
      <c r="D116" s="85">
        <v>2000</v>
      </c>
      <c r="F116" s="85">
        <f t="shared" si="2"/>
        <v>2000</v>
      </c>
    </row>
    <row r="117" spans="4:6" ht="18.75">
      <c r="D117" s="85">
        <v>7489</v>
      </c>
      <c r="F117" s="85">
        <f t="shared" si="2"/>
        <v>7489</v>
      </c>
    </row>
    <row r="118" spans="4:6" ht="18.75">
      <c r="D118" s="85">
        <v>5200</v>
      </c>
      <c r="F118" s="85">
        <f t="shared" si="2"/>
        <v>5200</v>
      </c>
    </row>
    <row r="119" spans="4:6" ht="18.75">
      <c r="D119" s="85">
        <v>425</v>
      </c>
      <c r="F119" s="85">
        <f t="shared" si="2"/>
        <v>425</v>
      </c>
    </row>
    <row r="120" spans="4:6" ht="18.75">
      <c r="D120" s="85">
        <v>53184</v>
      </c>
      <c r="F120" s="85">
        <f t="shared" si="2"/>
        <v>53184</v>
      </c>
    </row>
    <row r="121" spans="4:6" ht="18.75">
      <c r="D121" s="85">
        <v>1763</v>
      </c>
      <c r="F121" s="85">
        <f t="shared" si="2"/>
        <v>1763</v>
      </c>
    </row>
    <row r="122" spans="4:6" ht="18.75">
      <c r="D122" s="85">
        <v>2000</v>
      </c>
      <c r="F122" s="85">
        <f t="shared" si="2"/>
        <v>2000</v>
      </c>
    </row>
    <row r="123" spans="4:6" ht="18.75">
      <c r="D123" s="85">
        <v>5216</v>
      </c>
      <c r="F123" s="85">
        <f t="shared" si="2"/>
        <v>5216</v>
      </c>
    </row>
    <row r="124" spans="4:6" ht="18.75">
      <c r="D124" s="85">
        <v>104320</v>
      </c>
      <c r="F124" s="85">
        <f t="shared" si="2"/>
        <v>104320</v>
      </c>
    </row>
    <row r="125" spans="4:6" ht="18.75">
      <c r="D125" s="85">
        <v>200</v>
      </c>
      <c r="F125" s="85">
        <f t="shared" si="2"/>
        <v>200</v>
      </c>
    </row>
    <row r="126" spans="4:6" ht="18.75">
      <c r="D126" s="85">
        <v>7000</v>
      </c>
      <c r="F126" s="85">
        <f t="shared" si="2"/>
        <v>7000</v>
      </c>
    </row>
    <row r="127" spans="4:6" ht="18.75">
      <c r="D127" s="85">
        <v>10200</v>
      </c>
      <c r="F127" s="85">
        <f t="shared" si="2"/>
        <v>10200</v>
      </c>
    </row>
    <row r="128" spans="4:6" ht="18.75">
      <c r="D128" s="85">
        <v>74805</v>
      </c>
      <c r="F128" s="85">
        <f t="shared" si="2"/>
        <v>74805</v>
      </c>
    </row>
    <row r="129" spans="4:6" ht="18.75">
      <c r="D129" s="85">
        <v>74000</v>
      </c>
      <c r="F129" s="85">
        <f t="shared" si="2"/>
        <v>74000</v>
      </c>
    </row>
    <row r="130" spans="4:6" ht="18.75">
      <c r="D130" s="85">
        <v>3740</v>
      </c>
      <c r="F130" s="85">
        <f t="shared" si="2"/>
        <v>3740</v>
      </c>
    </row>
    <row r="131" spans="4:6" ht="18.75">
      <c r="D131" s="85">
        <v>25600</v>
      </c>
      <c r="F131" s="85">
        <f t="shared" si="2"/>
        <v>25600</v>
      </c>
    </row>
    <row r="132" spans="4:6" ht="18.75">
      <c r="D132" s="85">
        <v>12000</v>
      </c>
      <c r="F132" s="85">
        <f t="shared" si="2"/>
        <v>12000</v>
      </c>
    </row>
    <row r="133" spans="4:6" ht="18.75">
      <c r="D133" s="85">
        <v>27400</v>
      </c>
      <c r="F133" s="85">
        <f t="shared" si="2"/>
        <v>27400</v>
      </c>
    </row>
    <row r="134" spans="4:6" ht="18.75">
      <c r="D134" s="85">
        <v>300</v>
      </c>
      <c r="F134" s="85">
        <f t="shared" si="2"/>
        <v>300</v>
      </c>
    </row>
    <row r="135" spans="4:6" ht="18.75">
      <c r="D135" s="85">
        <v>1352725</v>
      </c>
      <c r="F135" s="85">
        <f t="shared" si="2"/>
        <v>1352725</v>
      </c>
    </row>
    <row r="136" spans="4:6" ht="18.75">
      <c r="D136" s="85">
        <v>364337</v>
      </c>
      <c r="F136" s="85">
        <f t="shared" si="2"/>
        <v>364337</v>
      </c>
    </row>
    <row r="137" spans="4:6" ht="18.75">
      <c r="D137" s="85">
        <v>3605000</v>
      </c>
      <c r="F137" s="85">
        <f t="shared" si="2"/>
        <v>3605000</v>
      </c>
    </row>
    <row r="138" spans="4:6" ht="18.75">
      <c r="D138" s="85">
        <v>410000</v>
      </c>
      <c r="F138" s="85">
        <f t="shared" si="2"/>
        <v>410000</v>
      </c>
    </row>
    <row r="139" spans="4:6" ht="18.75">
      <c r="D139" s="85">
        <v>2500</v>
      </c>
      <c r="F139" s="85">
        <f t="shared" si="2"/>
        <v>2500</v>
      </c>
    </row>
    <row r="140" spans="4:6" ht="18.75">
      <c r="D140" s="85">
        <v>5000</v>
      </c>
      <c r="F140" s="85">
        <f t="shared" si="2"/>
        <v>5000</v>
      </c>
    </row>
    <row r="141" spans="4:6" ht="18.75">
      <c r="D141" s="85">
        <v>11200</v>
      </c>
      <c r="F141" s="85">
        <f t="shared" si="2"/>
        <v>11200</v>
      </c>
    </row>
    <row r="142" spans="4:6" ht="18.75">
      <c r="D142" s="85">
        <v>281000</v>
      </c>
      <c r="F142" s="85">
        <f t="shared" si="2"/>
        <v>281000</v>
      </c>
    </row>
    <row r="143" spans="4:6" ht="18.75">
      <c r="D143" s="85">
        <v>280000</v>
      </c>
      <c r="F143" s="85">
        <f t="shared" si="2"/>
        <v>280000</v>
      </c>
    </row>
    <row r="144" spans="4:6" ht="18.75">
      <c r="D144" s="85">
        <v>88000</v>
      </c>
      <c r="F144" s="85">
        <f t="shared" si="2"/>
        <v>88000</v>
      </c>
    </row>
    <row r="145" spans="4:6" ht="18.75">
      <c r="D145" s="85">
        <v>20000</v>
      </c>
      <c r="F145" s="85">
        <f t="shared" si="2"/>
        <v>20000</v>
      </c>
    </row>
    <row r="146" spans="4:6" ht="18.75">
      <c r="D146" s="85">
        <v>20000</v>
      </c>
      <c r="F146" s="85">
        <f t="shared" si="2"/>
        <v>20000</v>
      </c>
    </row>
    <row r="147" spans="4:6" ht="18.75">
      <c r="D147" s="85">
        <v>110000</v>
      </c>
      <c r="F147" s="85">
        <f t="shared" si="2"/>
        <v>110000</v>
      </c>
    </row>
    <row r="148" spans="4:6" ht="18.75">
      <c r="D148" s="85">
        <v>21200</v>
      </c>
      <c r="F148" s="85">
        <f t="shared" si="2"/>
        <v>21200</v>
      </c>
    </row>
    <row r="149" spans="4:6" ht="18.75">
      <c r="D149" s="85">
        <v>3200</v>
      </c>
      <c r="F149" s="85">
        <f t="shared" si="2"/>
        <v>3200</v>
      </c>
    </row>
    <row r="150" spans="4:6" ht="18.75">
      <c r="D150" s="85">
        <v>25500</v>
      </c>
      <c r="F150" s="85">
        <f t="shared" si="2"/>
        <v>25500</v>
      </c>
    </row>
    <row r="151" spans="4:6" ht="18.75">
      <c r="D151" s="85">
        <v>52581</v>
      </c>
      <c r="F151" s="85">
        <f t="shared" si="2"/>
        <v>52581</v>
      </c>
    </row>
    <row r="152" spans="4:6" ht="18.75">
      <c r="D152" s="96">
        <v>110761</v>
      </c>
      <c r="F152" s="85">
        <f t="shared" si="2"/>
        <v>110761</v>
      </c>
    </row>
    <row r="153" spans="4:6" ht="18.75">
      <c r="D153" s="96">
        <v>42645</v>
      </c>
      <c r="F153" s="85">
        <f t="shared" si="2"/>
        <v>42645</v>
      </c>
    </row>
    <row r="154" spans="4:6" ht="18.75">
      <c r="D154" s="96">
        <v>179195</v>
      </c>
      <c r="F154" s="85">
        <f t="shared" si="2"/>
        <v>179195</v>
      </c>
    </row>
    <row r="155" spans="4:6" ht="18.75">
      <c r="D155" s="96">
        <v>55000</v>
      </c>
      <c r="F155" s="85">
        <f t="shared" si="2"/>
        <v>55000</v>
      </c>
    </row>
    <row r="156" spans="4:6" ht="18.75">
      <c r="D156" s="96">
        <f>12000</f>
        <v>12000</v>
      </c>
      <c r="F156" s="85">
        <f t="shared" si="2"/>
        <v>12000</v>
      </c>
    </row>
    <row r="157" spans="4:6" ht="18.75">
      <c r="D157" s="96">
        <v>24000</v>
      </c>
      <c r="F157" s="85">
        <f t="shared" si="2"/>
        <v>24000</v>
      </c>
    </row>
    <row r="158" spans="4:6" ht="18.75">
      <c r="D158" s="96">
        <v>47606</v>
      </c>
      <c r="F158" s="85">
        <f t="shared" si="2"/>
        <v>47606</v>
      </c>
    </row>
    <row r="159" spans="4:6" ht="18.75">
      <c r="D159" s="96">
        <v>100000</v>
      </c>
      <c r="F159" s="85">
        <f>D159-E159</f>
        <v>100000</v>
      </c>
    </row>
    <row r="160" spans="4:6" ht="18.75">
      <c r="D160" s="96">
        <v>1797</v>
      </c>
      <c r="F160" s="85">
        <f>D160-E160</f>
        <v>1797</v>
      </c>
    </row>
    <row r="161" spans="4:6" ht="18.75">
      <c r="D161" s="96">
        <v>3554</v>
      </c>
      <c r="F161" s="85">
        <f aca="true" t="shared" si="3" ref="F161:F199">D161-E161</f>
        <v>3554</v>
      </c>
    </row>
    <row r="162" spans="4:6" ht="18.75">
      <c r="D162" s="96">
        <v>2375</v>
      </c>
      <c r="F162" s="85">
        <f t="shared" si="3"/>
        <v>2375</v>
      </c>
    </row>
    <row r="163" spans="4:6" ht="18.75">
      <c r="D163" s="96">
        <v>553000</v>
      </c>
      <c r="F163" s="85">
        <f t="shared" si="3"/>
        <v>553000</v>
      </c>
    </row>
    <row r="164" spans="4:6" ht="18.75">
      <c r="D164" s="96">
        <v>26120</v>
      </c>
      <c r="F164" s="85">
        <f t="shared" si="3"/>
        <v>26120</v>
      </c>
    </row>
    <row r="165" spans="4:6" ht="18.75">
      <c r="D165" s="96">
        <v>54161</v>
      </c>
      <c r="F165" s="85">
        <f t="shared" si="3"/>
        <v>54161</v>
      </c>
    </row>
    <row r="166" spans="4:6" ht="18.75">
      <c r="D166" s="96">
        <v>336</v>
      </c>
      <c r="F166" s="85">
        <f t="shared" si="3"/>
        <v>336</v>
      </c>
    </row>
    <row r="167" spans="4:6" ht="18.75">
      <c r="D167" s="96">
        <v>300000</v>
      </c>
      <c r="F167" s="85">
        <f t="shared" si="3"/>
        <v>300000</v>
      </c>
    </row>
    <row r="168" spans="4:6" ht="18.75">
      <c r="D168" s="96">
        <v>111000</v>
      </c>
      <c r="F168" s="85">
        <f t="shared" si="3"/>
        <v>111000</v>
      </c>
    </row>
    <row r="169" spans="4:6" ht="18.75">
      <c r="D169" s="96">
        <v>40001</v>
      </c>
      <c r="F169" s="85">
        <f t="shared" si="3"/>
        <v>40001</v>
      </c>
    </row>
    <row r="170" spans="4:6" ht="18.75">
      <c r="D170" s="96">
        <v>16844</v>
      </c>
      <c r="F170" s="85">
        <f t="shared" si="3"/>
        <v>16844</v>
      </c>
    </row>
    <row r="171" spans="4:6" ht="18.75">
      <c r="D171" s="96">
        <v>200</v>
      </c>
      <c r="F171" s="85">
        <f t="shared" si="3"/>
        <v>200</v>
      </c>
    </row>
    <row r="172" spans="4:6" ht="18.75">
      <c r="D172" s="96">
        <v>548796</v>
      </c>
      <c r="F172" s="85">
        <f t="shared" si="3"/>
        <v>548796</v>
      </c>
    </row>
    <row r="173" spans="4:6" ht="18.75">
      <c r="D173" s="96">
        <v>34525</v>
      </c>
      <c r="F173" s="85">
        <f t="shared" si="3"/>
        <v>34525</v>
      </c>
    </row>
    <row r="174" spans="4:6" ht="18.75">
      <c r="D174" s="96">
        <v>160000</v>
      </c>
      <c r="F174" s="85">
        <f t="shared" si="3"/>
        <v>160000</v>
      </c>
    </row>
    <row r="175" spans="4:6" ht="18.75">
      <c r="D175" s="96">
        <v>1500000</v>
      </c>
      <c r="F175" s="85">
        <f t="shared" si="3"/>
        <v>1500000</v>
      </c>
    </row>
    <row r="176" spans="4:6" ht="18.75">
      <c r="D176" s="96">
        <v>28500</v>
      </c>
      <c r="F176" s="85">
        <f t="shared" si="3"/>
        <v>28500</v>
      </c>
    </row>
    <row r="177" spans="4:6" ht="18.75">
      <c r="D177" s="96">
        <v>30000</v>
      </c>
      <c r="F177" s="85">
        <f t="shared" si="3"/>
        <v>30000</v>
      </c>
    </row>
    <row r="178" spans="4:6" ht="18.75">
      <c r="D178" s="96">
        <v>200</v>
      </c>
      <c r="F178" s="85">
        <f t="shared" si="3"/>
        <v>200</v>
      </c>
    </row>
    <row r="179" spans="4:6" ht="18.75">
      <c r="D179" s="96">
        <v>200</v>
      </c>
      <c r="F179" s="85">
        <f t="shared" si="3"/>
        <v>200</v>
      </c>
    </row>
    <row r="180" spans="4:6" ht="18.75">
      <c r="D180" s="96">
        <f>20200+20200</f>
        <v>40400</v>
      </c>
      <c r="F180" s="85">
        <f t="shared" si="3"/>
        <v>40400</v>
      </c>
    </row>
    <row r="181" spans="4:6" ht="18.75">
      <c r="D181" s="96">
        <v>21342</v>
      </c>
      <c r="F181" s="85">
        <f t="shared" si="3"/>
        <v>21342</v>
      </c>
    </row>
    <row r="182" spans="4:6" ht="18.75">
      <c r="D182" s="96">
        <v>17000</v>
      </c>
      <c r="F182" s="85">
        <f t="shared" si="3"/>
        <v>17000</v>
      </c>
    </row>
    <row r="183" spans="4:6" ht="18.75">
      <c r="D183" s="96">
        <v>19139</v>
      </c>
      <c r="F183" s="85">
        <f t="shared" si="3"/>
        <v>19139</v>
      </c>
    </row>
    <row r="184" spans="4:6" ht="18.75">
      <c r="D184" s="96">
        <v>10000</v>
      </c>
      <c r="F184" s="85">
        <f t="shared" si="3"/>
        <v>10000</v>
      </c>
    </row>
    <row r="185" spans="4:6" ht="18.75">
      <c r="D185" s="96">
        <v>32500</v>
      </c>
      <c r="F185" s="85">
        <f t="shared" si="3"/>
        <v>32500</v>
      </c>
    </row>
    <row r="186" spans="4:6" ht="18.75">
      <c r="D186" s="96">
        <v>15000</v>
      </c>
      <c r="F186" s="85">
        <f t="shared" si="3"/>
        <v>15000</v>
      </c>
    </row>
    <row r="187" spans="4:6" ht="18.75">
      <c r="D187" s="96">
        <f>1000+728483</f>
        <v>729483</v>
      </c>
      <c r="F187" s="85">
        <f t="shared" si="3"/>
        <v>729483</v>
      </c>
    </row>
    <row r="188" spans="4:6" ht="18.75">
      <c r="D188" s="96">
        <v>31374</v>
      </c>
      <c r="F188" s="85">
        <f t="shared" si="3"/>
        <v>31374</v>
      </c>
    </row>
    <row r="189" spans="4:6" ht="18.75">
      <c r="D189" s="96">
        <v>2900</v>
      </c>
      <c r="F189" s="85">
        <f t="shared" si="3"/>
        <v>2900</v>
      </c>
    </row>
    <row r="190" spans="4:6" ht="18.75">
      <c r="D190" s="96">
        <f>185000+1505190</f>
        <v>1690190</v>
      </c>
      <c r="F190" s="85">
        <f t="shared" si="3"/>
        <v>1690190</v>
      </c>
    </row>
    <row r="191" spans="4:6" ht="18.75">
      <c r="D191" s="96">
        <v>22000</v>
      </c>
      <c r="F191" s="85">
        <f t="shared" si="3"/>
        <v>22000</v>
      </c>
    </row>
    <row r="192" spans="4:6" ht="18.75">
      <c r="D192" s="96">
        <v>1581</v>
      </c>
      <c r="F192" s="85">
        <f t="shared" si="3"/>
        <v>1581</v>
      </c>
    </row>
    <row r="193" spans="4:6" ht="18.75">
      <c r="D193" s="96">
        <v>63260</v>
      </c>
      <c r="F193" s="85">
        <f t="shared" si="3"/>
        <v>63260</v>
      </c>
    </row>
    <row r="194" spans="4:6" ht="18.75">
      <c r="D194" s="96">
        <v>120260</v>
      </c>
      <c r="F194" s="85">
        <f t="shared" si="3"/>
        <v>120260</v>
      </c>
    </row>
    <row r="195" spans="4:6" ht="18.75">
      <c r="D195" s="96">
        <v>3006</v>
      </c>
      <c r="F195" s="85">
        <f t="shared" si="3"/>
        <v>3006</v>
      </c>
    </row>
    <row r="196" spans="4:6" ht="18.75">
      <c r="D196" s="96">
        <v>700</v>
      </c>
      <c r="F196" s="85">
        <f t="shared" si="3"/>
        <v>700</v>
      </c>
    </row>
    <row r="197" spans="4:6" ht="18.75">
      <c r="D197" s="96">
        <v>589427</v>
      </c>
      <c r="F197" s="85">
        <f t="shared" si="3"/>
        <v>589427</v>
      </c>
    </row>
    <row r="198" spans="4:6" ht="18.75">
      <c r="D198" s="96">
        <v>114077</v>
      </c>
      <c r="F198" s="85">
        <f t="shared" si="3"/>
        <v>114077</v>
      </c>
    </row>
    <row r="199" spans="4:6" ht="18.75">
      <c r="D199" s="96">
        <v>3114</v>
      </c>
      <c r="F199" s="85">
        <f t="shared" si="3"/>
        <v>3114</v>
      </c>
    </row>
    <row r="200" spans="4:7" ht="18.75">
      <c r="D200" s="96">
        <v>40702</v>
      </c>
      <c r="F200">
        <v>40702</v>
      </c>
      <c r="G200" s="112">
        <f>SUM(F2:F199)</f>
        <v>17041627</v>
      </c>
    </row>
    <row r="201" spans="4:6" ht="18.75">
      <c r="D201" s="96">
        <v>124588</v>
      </c>
      <c r="F201">
        <v>124588</v>
      </c>
    </row>
    <row r="202" spans="4:6" ht="18.75">
      <c r="D202" s="96">
        <v>51400</v>
      </c>
      <c r="F202">
        <v>51400</v>
      </c>
    </row>
    <row r="203" spans="4:6" ht="18.75">
      <c r="D203" s="96">
        <v>4047</v>
      </c>
      <c r="F203">
        <v>4047</v>
      </c>
    </row>
    <row r="204" spans="4:6" ht="18.75">
      <c r="D204" s="96">
        <v>3771</v>
      </c>
      <c r="F204">
        <v>3771</v>
      </c>
    </row>
    <row r="205" spans="4:6" ht="18.75">
      <c r="D205" s="96">
        <v>14570</v>
      </c>
      <c r="F205">
        <v>14570</v>
      </c>
    </row>
    <row r="206" spans="4:6" ht="18.75">
      <c r="D206" s="96">
        <v>23532</v>
      </c>
      <c r="F206">
        <v>23532</v>
      </c>
    </row>
    <row r="207" spans="4:6" ht="18.75">
      <c r="D207" s="96">
        <v>13200</v>
      </c>
      <c r="F207">
        <v>13200</v>
      </c>
    </row>
    <row r="208" spans="4:6" ht="18.75">
      <c r="D208" s="96">
        <v>2000000</v>
      </c>
      <c r="F208">
        <v>2000000</v>
      </c>
    </row>
    <row r="209" spans="4:6" ht="18.75">
      <c r="D209" s="96">
        <v>15163</v>
      </c>
      <c r="F209">
        <v>15163</v>
      </c>
    </row>
    <row r="210" spans="4:6" ht="18.75">
      <c r="D210" s="96">
        <v>1264015</v>
      </c>
      <c r="F210">
        <v>1264015</v>
      </c>
    </row>
    <row r="211" spans="4:6" ht="18.75">
      <c r="D211" s="96">
        <v>49920</v>
      </c>
      <c r="F211">
        <v>49920</v>
      </c>
    </row>
    <row r="212" spans="4:6" ht="18.75">
      <c r="D212" s="96">
        <v>50000</v>
      </c>
      <c r="F212">
        <v>50000</v>
      </c>
    </row>
    <row r="213" spans="4:6" ht="18.75">
      <c r="D213" s="96">
        <v>20000</v>
      </c>
      <c r="F213">
        <v>20000</v>
      </c>
    </row>
    <row r="214" spans="4:6" ht="18.75">
      <c r="D214" s="96">
        <v>1750</v>
      </c>
      <c r="F214">
        <v>1750</v>
      </c>
    </row>
    <row r="215" spans="4:6" ht="18.75">
      <c r="D215" s="96">
        <v>100000</v>
      </c>
      <c r="F215">
        <v>100000</v>
      </c>
    </row>
    <row r="216" spans="4:6" ht="18.75">
      <c r="D216" s="96">
        <v>65324</v>
      </c>
      <c r="F216">
        <v>65324</v>
      </c>
    </row>
    <row r="217" spans="4:6" ht="18.75">
      <c r="D217" s="96">
        <v>2990</v>
      </c>
      <c r="F217">
        <v>2990</v>
      </c>
    </row>
    <row r="218" spans="4:6" ht="18.75">
      <c r="D218" s="96">
        <v>799868</v>
      </c>
      <c r="F218">
        <v>799868</v>
      </c>
    </row>
    <row r="219" spans="4:6" ht="18.75">
      <c r="D219" s="96">
        <v>59800</v>
      </c>
      <c r="F219">
        <v>59800</v>
      </c>
    </row>
    <row r="220" spans="4:6" ht="18.75">
      <c r="D220" s="96">
        <v>5000</v>
      </c>
      <c r="F220">
        <v>5000</v>
      </c>
    </row>
    <row r="221" spans="4:6" ht="18.75">
      <c r="D221" s="96">
        <v>35994</v>
      </c>
      <c r="F221">
        <v>35994</v>
      </c>
    </row>
    <row r="222" spans="4:6" ht="18.75">
      <c r="D222" s="96">
        <v>25200</v>
      </c>
      <c r="F222">
        <v>25200</v>
      </c>
    </row>
    <row r="223" spans="4:6" ht="18.75">
      <c r="D223" s="96">
        <f>50651+497383</f>
        <v>548034</v>
      </c>
      <c r="F223">
        <v>548034</v>
      </c>
    </row>
    <row r="224" spans="4:6" ht="18.75">
      <c r="D224" s="96">
        <v>196500</v>
      </c>
      <c r="F224">
        <v>196500</v>
      </c>
    </row>
    <row r="225" spans="4:6" ht="18.75">
      <c r="D225" s="96">
        <v>1160493</v>
      </c>
      <c r="F225">
        <v>1160493</v>
      </c>
    </row>
    <row r="226" spans="4:6" ht="18.75">
      <c r="D226" s="96">
        <v>4175</v>
      </c>
      <c r="F226">
        <v>4175</v>
      </c>
    </row>
    <row r="227" spans="4:6" ht="18.75">
      <c r="D227" s="96">
        <f>83508+1017839</f>
        <v>1101347</v>
      </c>
      <c r="F227">
        <v>1101347</v>
      </c>
    </row>
    <row r="228" spans="4:6" ht="18.75">
      <c r="D228" s="96">
        <v>68266</v>
      </c>
      <c r="F228">
        <v>68266</v>
      </c>
    </row>
    <row r="229" spans="4:6" ht="18.75">
      <c r="D229" s="96">
        <f>59848+254879</f>
        <v>314727</v>
      </c>
      <c r="F229">
        <v>314727</v>
      </c>
    </row>
    <row r="230" spans="4:6" ht="18.75">
      <c r="D230" s="96">
        <v>61678</v>
      </c>
      <c r="F230">
        <v>61678</v>
      </c>
    </row>
    <row r="231" spans="4:6" ht="18.75">
      <c r="D231" s="96">
        <v>57113</v>
      </c>
      <c r="F231">
        <v>57113</v>
      </c>
    </row>
    <row r="232" spans="4:6" ht="18.75">
      <c r="D232" s="96">
        <v>1541</v>
      </c>
      <c r="F232">
        <v>1541</v>
      </c>
    </row>
    <row r="233" spans="4:6" ht="18.75">
      <c r="D233" s="96">
        <v>1427</v>
      </c>
      <c r="F233">
        <v>1427</v>
      </c>
    </row>
    <row r="234" spans="4:6" ht="18.75">
      <c r="D234" s="96">
        <f>35011+746784</f>
        <v>781795</v>
      </c>
      <c r="F234">
        <v>781795</v>
      </c>
    </row>
    <row r="235" spans="4:6" ht="18.75">
      <c r="D235" s="96">
        <v>43574</v>
      </c>
      <c r="F235">
        <v>43574</v>
      </c>
    </row>
    <row r="236" spans="4:6" ht="18.75">
      <c r="D236" s="96">
        <v>35000</v>
      </c>
      <c r="F236">
        <v>35000</v>
      </c>
    </row>
    <row r="237" spans="4:6" ht="18.75">
      <c r="D237" s="96">
        <v>14200</v>
      </c>
      <c r="F237">
        <v>14200</v>
      </c>
    </row>
    <row r="238" spans="4:6" ht="18.75">
      <c r="D238" s="96">
        <v>10262</v>
      </c>
      <c r="F238">
        <v>10262</v>
      </c>
    </row>
    <row r="239" spans="4:6" ht="18.75">
      <c r="D239" s="96">
        <v>4200</v>
      </c>
      <c r="F239">
        <v>4200</v>
      </c>
    </row>
    <row r="240" spans="4:6" ht="18.75">
      <c r="D240" s="96">
        <v>14000</v>
      </c>
      <c r="F240">
        <v>14000</v>
      </c>
    </row>
    <row r="241" spans="4:6" ht="18.75">
      <c r="D241" s="96">
        <v>2150</v>
      </c>
      <c r="F241">
        <v>2150</v>
      </c>
    </row>
    <row r="242" spans="4:6" ht="18.75">
      <c r="D242" s="96">
        <v>424</v>
      </c>
      <c r="F242">
        <v>424</v>
      </c>
    </row>
    <row r="243" spans="4:6" ht="18.75">
      <c r="D243" s="96">
        <v>16960</v>
      </c>
      <c r="F243">
        <v>16960</v>
      </c>
    </row>
    <row r="244" spans="4:6" ht="18.75">
      <c r="D244" s="96">
        <v>300000</v>
      </c>
      <c r="F244">
        <v>300000</v>
      </c>
    </row>
    <row r="245" spans="4:6" ht="18.75">
      <c r="D245" s="96">
        <f>286877+111944+260434</f>
        <v>659255</v>
      </c>
      <c r="F245">
        <v>659255</v>
      </c>
    </row>
    <row r="246" spans="4:6" ht="18.75">
      <c r="D246" s="96">
        <f>162870+256396+509001</f>
        <v>928267</v>
      </c>
      <c r="F246">
        <v>928267</v>
      </c>
    </row>
    <row r="247" spans="4:6" ht="18.75">
      <c r="D247" s="96">
        <f>189138+331947+500000</f>
        <v>1021085</v>
      </c>
      <c r="F247">
        <v>1021085</v>
      </c>
    </row>
    <row r="248" spans="4:7" ht="18.75">
      <c r="D248" s="112">
        <f>SUM(D2:D247)</f>
        <v>29158934</v>
      </c>
      <c r="F248" s="112">
        <f>SUM(F200:F247)</f>
        <v>12117307</v>
      </c>
      <c r="G248" s="112">
        <f>F248+G200</f>
        <v>29158934</v>
      </c>
    </row>
  </sheetData>
  <sheetProtection/>
  <dataValidations count="1">
    <dataValidation type="decimal" allowBlank="1" showInputMessage="1" showErrorMessage="1" errorTitle="Thông báo" error="Phải nhập vào kiểu số" sqref="D2:D247">
      <formula1>0</formula1>
      <formula2>10000000000000000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AnhHT</dc:creator>
  <cp:keywords/>
  <dc:description/>
  <cp:lastModifiedBy>Nguyen</cp:lastModifiedBy>
  <cp:lastPrinted>2023-07-27T09:31:14Z</cp:lastPrinted>
  <dcterms:created xsi:type="dcterms:W3CDTF">2012-09-06T02:00:52Z</dcterms:created>
  <dcterms:modified xsi:type="dcterms:W3CDTF">2023-09-12T07:06:50Z</dcterms:modified>
  <cp:category/>
  <cp:version/>
  <cp:contentType/>
  <cp:contentStatus/>
</cp:coreProperties>
</file>